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10" yWindow="15" windowWidth="12090" windowHeight="12420" tabRatio="891" activeTab="1"/>
  </bookViews>
  <sheets>
    <sheet name="ZZK " sheetId="31" r:id="rId1"/>
    <sheet name="DROGÓWKA" sheetId="44" r:id="rId2"/>
  </sheets>
  <definedNames>
    <definedName name="_xlnm._FilterDatabase" localSheetId="1" hidden="1">DROGÓWKA!#REF!</definedName>
    <definedName name="A" localSheetId="1">#REF!</definedName>
    <definedName name="A" localSheetId="0">#REF!</definedName>
    <definedName name="A">#REF!</definedName>
    <definedName name="A." localSheetId="1">#REF!</definedName>
    <definedName name="A.">#REF!</definedName>
    <definedName name="aaa" localSheetId="1">#REF!</definedName>
    <definedName name="aaa">#REF!</definedName>
    <definedName name="dane" localSheetId="1">#REF!</definedName>
    <definedName name="dane" localSheetId="0">#REF!</definedName>
    <definedName name="dane">#REF!</definedName>
    <definedName name="dane." localSheetId="1">#REF!</definedName>
    <definedName name="dane.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kurs">4.2735</definedName>
    <definedName name="_xlnm.Print_Area" localSheetId="1">DROGÓWKA!$A$1:$I$365</definedName>
    <definedName name="_xlnm.Print_Area" localSheetId="0">'ZZK '!$A$1:$D$5</definedName>
    <definedName name="SUM_K1" localSheetId="1">#REF!</definedName>
    <definedName name="SUM_K1" localSheetId="0">#REF!</definedName>
    <definedName name="SUM_K1">#REF!</definedName>
    <definedName name="SUM_K10" localSheetId="1">#REF!</definedName>
    <definedName name="SUM_K10" localSheetId="0">#REF!</definedName>
    <definedName name="SUM_K10">#REF!</definedName>
    <definedName name="SUM_K11" localSheetId="1">#REF!</definedName>
    <definedName name="SUM_K11" localSheetId="0">#REF!</definedName>
    <definedName name="SUM_K11">#REF!</definedName>
    <definedName name="SUM_K12" localSheetId="1">#REF!</definedName>
    <definedName name="SUM_K12" localSheetId="0">#REF!</definedName>
    <definedName name="SUM_K12">#REF!</definedName>
    <definedName name="SUM_K13" localSheetId="1">#REF!</definedName>
    <definedName name="SUM_K13" localSheetId="0">#REF!</definedName>
    <definedName name="SUM_K13">#REF!</definedName>
    <definedName name="SUM_K14" localSheetId="1">#REF!</definedName>
    <definedName name="SUM_K14" localSheetId="0">#REF!</definedName>
    <definedName name="SUM_K14">#REF!</definedName>
    <definedName name="SUM_K15" localSheetId="1">#REF!</definedName>
    <definedName name="SUM_K15" localSheetId="0">#REF!</definedName>
    <definedName name="SUM_K15">#REF!</definedName>
    <definedName name="SUM_K16" localSheetId="1">#REF!</definedName>
    <definedName name="SUM_K16" localSheetId="0">#REF!</definedName>
    <definedName name="SUM_K16">#REF!</definedName>
    <definedName name="SUM_K17" localSheetId="1">#REF!</definedName>
    <definedName name="SUM_K17" localSheetId="0">#REF!</definedName>
    <definedName name="SUM_K17">#REF!</definedName>
    <definedName name="SUM_K18" localSheetId="1">#REF!</definedName>
    <definedName name="SUM_K18" localSheetId="0">#REF!</definedName>
    <definedName name="SUM_K18">#REF!</definedName>
    <definedName name="SUM_K19" localSheetId="1">#REF!</definedName>
    <definedName name="SUM_K19" localSheetId="0">#REF!</definedName>
    <definedName name="SUM_K19">#REF!</definedName>
    <definedName name="SUM_K2" localSheetId="1">#REF!</definedName>
    <definedName name="SUM_K2" localSheetId="0">#REF!</definedName>
    <definedName name="SUM_K2">#REF!</definedName>
    <definedName name="SUM_K20" localSheetId="1">#REF!</definedName>
    <definedName name="SUM_K20" localSheetId="0">#REF!</definedName>
    <definedName name="SUM_K20">#REF!</definedName>
    <definedName name="SUM_K21" localSheetId="1">#REF!</definedName>
    <definedName name="SUM_K21" localSheetId="0">#REF!</definedName>
    <definedName name="SUM_K21">#REF!</definedName>
    <definedName name="SUM_K22" localSheetId="1">#REF!</definedName>
    <definedName name="SUM_K22" localSheetId="0">#REF!</definedName>
    <definedName name="SUM_K22">#REF!</definedName>
    <definedName name="SUM_K23" localSheetId="1">#REF!</definedName>
    <definedName name="SUM_K23" localSheetId="0">#REF!</definedName>
    <definedName name="SUM_K23">#REF!</definedName>
    <definedName name="SUM_K3" localSheetId="1">#REF!</definedName>
    <definedName name="SUM_K3" localSheetId="0">#REF!</definedName>
    <definedName name="SUM_K3">#REF!</definedName>
    <definedName name="SUM_K4" localSheetId="1">#REF!</definedName>
    <definedName name="SUM_K4" localSheetId="0">#REF!</definedName>
    <definedName name="SUM_K4">#REF!</definedName>
    <definedName name="SUM_K5" localSheetId="1">#REF!</definedName>
    <definedName name="SUM_K5" localSheetId="0">#REF!</definedName>
    <definedName name="SUM_K5">#REF!</definedName>
    <definedName name="SUM_K6" localSheetId="1">#REF!</definedName>
    <definedName name="SUM_K6" localSheetId="0">#REF!</definedName>
    <definedName name="SUM_K6">#REF!</definedName>
    <definedName name="SUM_K7" localSheetId="1">#REF!</definedName>
    <definedName name="SUM_K7" localSheetId="0">#REF!</definedName>
    <definedName name="SUM_K7">#REF!</definedName>
    <definedName name="SUM_K8" localSheetId="1">#REF!</definedName>
    <definedName name="SUM_K8" localSheetId="0">#REF!</definedName>
    <definedName name="SUM_K8">#REF!</definedName>
    <definedName name="SUM_K9" localSheetId="1">#REF!</definedName>
    <definedName name="SUM_K9" localSheetId="0">#REF!</definedName>
    <definedName name="SUM_K9">#REF!</definedName>
    <definedName name="_xlnm.Print_Titles" localSheetId="1">DROGÓWKA!$3:$4</definedName>
    <definedName name="_xlnm.Print_Titles" localSheetId="0">'ZZK '!#REF!</definedName>
  </definedNames>
  <calcPr calcId="125725"/>
</workbook>
</file>

<file path=xl/calcChain.xml><?xml version="1.0" encoding="utf-8"?>
<calcChain xmlns="http://schemas.openxmlformats.org/spreadsheetml/2006/main">
  <c r="A8" i="44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I285"/>
  <c r="I220"/>
  <c r="I162"/>
  <c r="I92"/>
  <c r="G275"/>
  <c r="I362"/>
  <c r="I207"/>
  <c r="I69"/>
  <c r="I81"/>
  <c r="I70"/>
  <c r="I36"/>
  <c r="I25"/>
  <c r="I19"/>
  <c r="I6"/>
  <c r="I5" l="1"/>
  <c r="I363"/>
  <c r="I358"/>
  <c r="I348"/>
  <c r="I335"/>
  <c r="I321"/>
  <c r="I310"/>
  <c r="I300"/>
  <c r="I287"/>
  <c r="I278"/>
  <c r="I275"/>
  <c r="I270"/>
  <c r="I265"/>
  <c r="I266"/>
  <c r="I267"/>
  <c r="I268"/>
  <c r="I264"/>
  <c r="I261"/>
  <c r="I256"/>
  <c r="I252"/>
  <c r="I242"/>
  <c r="I233"/>
  <c r="I223"/>
  <c r="I219"/>
  <c r="I209"/>
  <c r="I200"/>
  <c r="I198"/>
  <c r="I188"/>
  <c r="I186"/>
  <c r="I176"/>
  <c r="I169"/>
  <c r="I170"/>
  <c r="I171"/>
  <c r="I172"/>
  <c r="I173"/>
  <c r="I174"/>
  <c r="I168"/>
  <c r="I165"/>
  <c r="I158"/>
  <c r="I159"/>
  <c r="I160"/>
  <c r="I161"/>
  <c r="I157"/>
  <c r="I156"/>
  <c r="I155"/>
  <c r="I154"/>
  <c r="I151"/>
  <c r="I150"/>
  <c r="I149"/>
  <c r="I148"/>
  <c r="I147"/>
  <c r="I146"/>
  <c r="I145"/>
  <c r="I144"/>
  <c r="I133"/>
  <c r="I120"/>
  <c r="I108"/>
  <c r="I106"/>
  <c r="I105"/>
  <c r="I104"/>
  <c r="I103"/>
  <c r="I102"/>
  <c r="I101"/>
  <c r="I100"/>
  <c r="I99"/>
  <c r="I96"/>
  <c r="I95"/>
  <c r="I93"/>
  <c r="I82"/>
  <c r="I71"/>
  <c r="I68"/>
  <c r="I67"/>
  <c r="I60"/>
  <c r="I53"/>
  <c r="I45"/>
  <c r="I37"/>
  <c r="I26"/>
  <c r="I24"/>
  <c r="I23"/>
  <c r="I22"/>
  <c r="I21"/>
  <c r="I20"/>
  <c r="I7"/>
  <c r="A7"/>
  <c r="E121"/>
  <c r="E122"/>
  <c r="E123"/>
  <c r="E124"/>
  <c r="E125"/>
  <c r="E126"/>
  <c r="E127"/>
  <c r="E128"/>
  <c r="E129"/>
  <c r="E130"/>
  <c r="E131"/>
  <c r="E132"/>
  <c r="E271"/>
  <c r="E272"/>
  <c r="E280"/>
  <c r="E283"/>
  <c r="G278" s="1"/>
  <c r="E199"/>
  <c r="G198" s="1"/>
  <c r="G186"/>
  <c r="G174"/>
  <c r="G173"/>
  <c r="G172"/>
  <c r="G171"/>
  <c r="G170"/>
  <c r="G169"/>
  <c r="G168"/>
  <c r="G165"/>
  <c r="G161"/>
  <c r="G160"/>
  <c r="G159"/>
  <c r="G158"/>
  <c r="G157"/>
  <c r="G156"/>
  <c r="G155"/>
  <c r="G154"/>
  <c r="G151"/>
  <c r="E112"/>
  <c r="E117"/>
  <c r="G106"/>
  <c r="E333"/>
  <c r="E332"/>
  <c r="E331"/>
  <c r="E330"/>
  <c r="E329"/>
  <c r="E328"/>
  <c r="E327"/>
  <c r="E326"/>
  <c r="E325"/>
  <c r="E324"/>
  <c r="E323"/>
  <c r="E322"/>
  <c r="G321" s="1"/>
  <c r="G26"/>
  <c r="G209"/>
  <c r="G219" s="1"/>
  <c r="E154"/>
  <c r="E155"/>
  <c r="E156"/>
  <c r="E157"/>
  <c r="E158"/>
  <c r="E159"/>
  <c r="E160"/>
  <c r="E161"/>
  <c r="G82"/>
  <c r="G71"/>
  <c r="E8"/>
  <c r="E9"/>
  <c r="E10"/>
  <c r="E11"/>
  <c r="E12"/>
  <c r="E13"/>
  <c r="E14"/>
  <c r="E15"/>
  <c r="E16"/>
  <c r="E17"/>
  <c r="E18"/>
  <c r="G233"/>
  <c r="E165"/>
  <c r="G108"/>
  <c r="E142"/>
  <c r="E137"/>
  <c r="G133" s="1"/>
  <c r="E192"/>
  <c r="E197"/>
  <c r="G188" s="1"/>
  <c r="E359"/>
  <c r="E360"/>
  <c r="E361"/>
  <c r="G24"/>
  <c r="E38"/>
  <c r="E39"/>
  <c r="E40"/>
  <c r="E41"/>
  <c r="E42"/>
  <c r="E43"/>
  <c r="E44"/>
  <c r="E66"/>
  <c r="E65"/>
  <c r="E64"/>
  <c r="E63"/>
  <c r="E62"/>
  <c r="G60" s="1"/>
  <c r="E61"/>
  <c r="E46"/>
  <c r="E47"/>
  <c r="E48"/>
  <c r="E49"/>
  <c r="E50"/>
  <c r="E51"/>
  <c r="E52"/>
  <c r="E54"/>
  <c r="E55"/>
  <c r="E56"/>
  <c r="E57"/>
  <c r="E58"/>
  <c r="E59"/>
  <c r="E257"/>
  <c r="E258"/>
  <c r="E259"/>
  <c r="E260"/>
  <c r="E262"/>
  <c r="E263"/>
  <c r="G267"/>
  <c r="G264"/>
  <c r="G223"/>
  <c r="G242"/>
  <c r="G252"/>
  <c r="G363"/>
  <c r="E349"/>
  <c r="E350"/>
  <c r="E351"/>
  <c r="E352"/>
  <c r="E353"/>
  <c r="E354"/>
  <c r="E355"/>
  <c r="E356"/>
  <c r="E336"/>
  <c r="E337"/>
  <c r="E338"/>
  <c r="E339"/>
  <c r="E340"/>
  <c r="E341"/>
  <c r="E342"/>
  <c r="E343"/>
  <c r="E344"/>
  <c r="E347"/>
  <c r="E314"/>
  <c r="E319"/>
  <c r="E304"/>
  <c r="E309"/>
  <c r="E288"/>
  <c r="E289"/>
  <c r="E290"/>
  <c r="E291"/>
  <c r="E292"/>
  <c r="E293"/>
  <c r="E294"/>
  <c r="E296"/>
  <c r="E297"/>
  <c r="E299"/>
  <c r="E201"/>
  <c r="E202"/>
  <c r="E203"/>
  <c r="E204"/>
  <c r="E205"/>
  <c r="E206"/>
  <c r="E177"/>
  <c r="E178"/>
  <c r="E179"/>
  <c r="E180"/>
  <c r="E181"/>
  <c r="E182"/>
  <c r="E183"/>
  <c r="E151"/>
  <c r="G300" l="1"/>
  <c r="G310"/>
  <c r="G176"/>
  <c r="G261"/>
  <c r="G358"/>
  <c r="G7"/>
  <c r="G200"/>
  <c r="G45"/>
  <c r="G120"/>
  <c r="G348"/>
  <c r="G37"/>
  <c r="G270"/>
  <c r="G53"/>
  <c r="G287"/>
  <c r="G335"/>
  <c r="G256"/>
</calcChain>
</file>

<file path=xl/sharedStrings.xml><?xml version="1.0" encoding="utf-8"?>
<sst xmlns="http://schemas.openxmlformats.org/spreadsheetml/2006/main" count="897" uniqueCount="162">
  <si>
    <t>ROBOTY DROGOWE</t>
  </si>
  <si>
    <t>D.01.00.00</t>
  </si>
  <si>
    <t>D.01.01.01</t>
  </si>
  <si>
    <t>Odtworzenie trasy i punktów wysokościowych oraz wznowienie i stabilizacja pasa drogowego</t>
  </si>
  <si>
    <t>km</t>
  </si>
  <si>
    <t>- drzewa o średnicy 36 ÷ 45 cm</t>
  </si>
  <si>
    <t>- krzewy</t>
  </si>
  <si>
    <t>ha</t>
  </si>
  <si>
    <t>D.01.02.02</t>
  </si>
  <si>
    <t>Usunięcie warstwy ziemi urodzajnej (humusu)</t>
  </si>
  <si>
    <t>D.01.02.04</t>
  </si>
  <si>
    <t>- podbudowa z kruszywa 20 cm</t>
  </si>
  <si>
    <t>- krawężniki betonowe</t>
  </si>
  <si>
    <t>- obrzeża betonowe</t>
  </si>
  <si>
    <t>- chodnik z kostki brukowej betonowej</t>
  </si>
  <si>
    <t xml:space="preserve">- tablice znaków </t>
  </si>
  <si>
    <t>- słupki znaków drogowych</t>
  </si>
  <si>
    <t>D.02.00.00</t>
  </si>
  <si>
    <t>ROBOTY ZIEMNE</t>
  </si>
  <si>
    <t>D.02.01.01</t>
  </si>
  <si>
    <t>Wykonanie wykopów w gruntach nieskalistych</t>
  </si>
  <si>
    <t>D.02.03.01</t>
  </si>
  <si>
    <t>Wykonanie nasypów</t>
  </si>
  <si>
    <t>D.04.00.00</t>
  </si>
  <si>
    <t>PODBUDOWY</t>
  </si>
  <si>
    <t>D.04.01.02</t>
  </si>
  <si>
    <t>Profilowanie i zagęszczenie podłoża</t>
  </si>
  <si>
    <t>D.04.03.01</t>
  </si>
  <si>
    <t>Oczyszczenie i skropienie warstw konstrukcyjnych</t>
  </si>
  <si>
    <t>- warstwy bitumiczne</t>
  </si>
  <si>
    <t>D.04.04.02</t>
  </si>
  <si>
    <t>Podbudowa z kruszywa łamanego stabilizowanego mechanicznie</t>
  </si>
  <si>
    <t>D.04.05.02</t>
  </si>
  <si>
    <t>D.04.07.01</t>
  </si>
  <si>
    <t xml:space="preserve">Podbudowa z betonu asfaltowego </t>
  </si>
  <si>
    <t>D.05.00.00</t>
  </si>
  <si>
    <t>NAWIERZCHNIE</t>
  </si>
  <si>
    <t>D.05.03.05</t>
  </si>
  <si>
    <t>D.05.03.06</t>
  </si>
  <si>
    <t>D.05.03.11</t>
  </si>
  <si>
    <t>Frezowanie nawierzchni asfaltowych na zimno</t>
  </si>
  <si>
    <t>- warstwa grubości 12 cm</t>
  </si>
  <si>
    <t>D.05.03.13</t>
  </si>
  <si>
    <t>D.05.03.23</t>
  </si>
  <si>
    <t>D.05.03.25</t>
  </si>
  <si>
    <t>D.06.00.00</t>
  </si>
  <si>
    <t>ROBOTY WYKOŃCZENIOWE</t>
  </si>
  <si>
    <t>D.06.01.01</t>
  </si>
  <si>
    <t>Umocnienie powierzchniowe skarp, rowów i ścieków</t>
  </si>
  <si>
    <t>D.07.00.00</t>
  </si>
  <si>
    <t>D.07.01.01</t>
  </si>
  <si>
    <t>Oznakowanie poziome</t>
  </si>
  <si>
    <t>D.07.02.01</t>
  </si>
  <si>
    <t>Oznakowanie pionowe</t>
  </si>
  <si>
    <t>D.07.05.01</t>
  </si>
  <si>
    <t>Ustawienie barier ochronnych stalowych</t>
  </si>
  <si>
    <t>D.08.00.00</t>
  </si>
  <si>
    <t>ELEMENTY ULIC</t>
  </si>
  <si>
    <t>D.08.01.01</t>
  </si>
  <si>
    <t xml:space="preserve">Krawężniki betonowe </t>
  </si>
  <si>
    <t>D.08.03.01</t>
  </si>
  <si>
    <t>Obrzeża betonowe</t>
  </si>
  <si>
    <t>D.10.00.00</t>
  </si>
  <si>
    <t>INNE ROBOTY</t>
  </si>
  <si>
    <t xml:space="preserve">ZBIORCZE ZESTAWIENIE KOSZTÓW </t>
  </si>
  <si>
    <t>BEZPIECZEŃSTWO RUCHU</t>
  </si>
  <si>
    <t>- materiały cienkowarstwowe (farby)</t>
  </si>
  <si>
    <t>- materiały cienkowarstwowe (farby) - linie ciągłe</t>
  </si>
  <si>
    <t>- materiały cienkowarstwowe (farby) - linie przerywane</t>
  </si>
  <si>
    <t>- materiały cienkowarstwowe (farby) - linie na skrzyżowaniach i przejściach dla pieszych</t>
  </si>
  <si>
    <t>- materiały cienkowarstwowe (farby) -- strzałki i inne symbole</t>
  </si>
  <si>
    <t>- tarcze znaków małe</t>
  </si>
  <si>
    <t>- tarcze znaków średnie</t>
  </si>
  <si>
    <t>- znak D42/43</t>
  </si>
  <si>
    <t>- tablice E-17a</t>
  </si>
  <si>
    <t>- tablice E-18a</t>
  </si>
  <si>
    <t>- tabliczki typu T</t>
  </si>
  <si>
    <t>- zapora drogowa U-20b l=8m</t>
  </si>
  <si>
    <t>D.07.06.02</t>
  </si>
  <si>
    <t>Ustawienie urządzeń zabezpieczających ruch pieszych</t>
  </si>
  <si>
    <t>- drzewa o średnicy do 35 cm</t>
  </si>
  <si>
    <t>- drzewa o średnicy 46 ÷ 55 cm</t>
  </si>
  <si>
    <t>- drzewa o średnicy powyżej 55 cm</t>
  </si>
  <si>
    <t>Schody terenowe</t>
  </si>
  <si>
    <t>D.10.02.01</t>
  </si>
  <si>
    <t xml:space="preserve">Ścieki z prefabrykowanych elementów betonowych </t>
  </si>
  <si>
    <t>D.08.05.01</t>
  </si>
  <si>
    <t>Wjazdy i wyjazdy z brukowej kostki betonowej</t>
  </si>
  <si>
    <t>D.08.04.01</t>
  </si>
  <si>
    <t>- 8x30 cm</t>
  </si>
  <si>
    <t>- chodnik</t>
  </si>
  <si>
    <t xml:space="preserve">Chodniki z brukowej kostki betonowej </t>
  </si>
  <si>
    <t>D.08.02.01</t>
  </si>
  <si>
    <t>- 15x30 na ławie betonowej i podsypce cementowo-piaskowej</t>
  </si>
  <si>
    <t>- 20x30 na ławie betonowej i podsypce cementowo-piaskowej ułożone w pionie oraz "na płask"</t>
  </si>
  <si>
    <t>- 20x30 na ławie betonowej i podsypce cementowo-piaskowej</t>
  </si>
  <si>
    <t>- mata antyerozyjna</t>
  </si>
  <si>
    <t>- humusowanie z obsianiem gr. 15 cm</t>
  </si>
  <si>
    <t>Wzmocnienie styków nawierzchni geosiatką</t>
  </si>
  <si>
    <t>D.05.04.01</t>
  </si>
  <si>
    <t>- ul. Główna - KR-3</t>
  </si>
  <si>
    <t>Warstwa ścieralna z mieszanki mineralno-asfaltowej SMA 0/12,8 - grubość warstwy 4 cm</t>
  </si>
  <si>
    <t>- Drogi dojazdowe - KR-2</t>
  </si>
  <si>
    <t>- ul. Botaniczna - KR-2</t>
  </si>
  <si>
    <t>- ul. Zakładowa - KR-2</t>
  </si>
  <si>
    <t>- ul. Sławnikowskiej - KR-2</t>
  </si>
  <si>
    <t>- ul. Wądolna - KR-2</t>
  </si>
  <si>
    <t>- ul. Jaśminowa - KR-2</t>
  </si>
  <si>
    <t>- ul. Mgielna - KR-2</t>
  </si>
  <si>
    <t>Warstwa ścieralna z betonu asfaltowego</t>
  </si>
  <si>
    <t>Warstwa wiążąca z betonu asfaltowego 0-20  - grubość warstwy 6 cm</t>
  </si>
  <si>
    <t>Warstwa wiążąca z betonu asfaltowego</t>
  </si>
  <si>
    <t>Podbudowa zasadnicza z 0-25 - grubość warstwy 8 cm</t>
  </si>
  <si>
    <t>- zjazdy</t>
  </si>
  <si>
    <t>Rm=2,5 Mpa - grubość warstwy 15 cm</t>
  </si>
  <si>
    <t>Podbudowa z kruszywa stabilizowanego cementem</t>
  </si>
  <si>
    <t>Grubość warstwy 20 cm</t>
  </si>
  <si>
    <t>- warstwy nieulepszone</t>
  </si>
  <si>
    <t>- grunt z dowozu</t>
  </si>
  <si>
    <t>- z przeznaczeniem do utylizacji</t>
  </si>
  <si>
    <t>Rozbiórki elementów dróg i ulic</t>
  </si>
  <si>
    <t>- z przeznaczeniem na odkład</t>
  </si>
  <si>
    <t>- typ korytkowy wraz z umocnienie płytami chodnikowymi</t>
  </si>
  <si>
    <t>Grubość warstwy 25 cm</t>
  </si>
  <si>
    <t>Rm=1,5 Mpa - grubość warstwy 15 cm</t>
  </si>
  <si>
    <t>Warstwa ścieralna z betonu asfaltowego  0/12,8  - grubość warstwy 4 cm</t>
  </si>
  <si>
    <t>- wygrodzenie U-11a</t>
  </si>
  <si>
    <t>- Zjazdy - gr. 8 cm kostka betonowa - czerwona</t>
  </si>
  <si>
    <t>BUDOWA DROGI DOJAZDOWEJ DO WĘZŁA DROGOWEGO "DĄBROWICA" 
OBWODNICY MIASTA LUBLIN W CIĄGU DRÓG EKSPRESOWYCH S12, S17 I S19.
(ODCINEK OD SKRZYŻOWANIA AL. SOLIDARNOŚCI Z AL. WARSZAWSKĄ DO GRANIC MIASTA)</t>
  </si>
  <si>
    <t>L.p.</t>
  </si>
  <si>
    <t>Wyszczególnienie elementu 
rozliczeniowego</t>
  </si>
  <si>
    <t>Jednostka</t>
  </si>
  <si>
    <t>Nazwa</t>
  </si>
  <si>
    <t>Ilość</t>
  </si>
  <si>
    <t>ROBOTY PRZYGOTOWAWCZE</t>
  </si>
  <si>
    <t>x</t>
  </si>
  <si>
    <t>m3</t>
  </si>
  <si>
    <t>mb</t>
  </si>
  <si>
    <t>szt.</t>
  </si>
  <si>
    <t>m2</t>
  </si>
  <si>
    <t>Warstwa ścieralna z mieszanki SMA</t>
  </si>
  <si>
    <t>Nawierzchnia z kostki betonowej</t>
  </si>
  <si>
    <t>Uszorstnienie nawierzchni</t>
  </si>
  <si>
    <t>- Drogi dojazdowe DD2- KR-2</t>
  </si>
  <si>
    <t>- Drogi dojazdowe DD1- KR-2</t>
  </si>
  <si>
    <t>- Drogi dojazdowe DD3- KR-2</t>
  </si>
  <si>
    <t>- Drogi dojazdowe DD4- KR-2</t>
  </si>
  <si>
    <t>- Drogi dojazdowe DD5- KR-2</t>
  </si>
  <si>
    <t>- ul. Agronomiczna - KR-2</t>
  </si>
  <si>
    <t>- tarcze znaków typ A</t>
  </si>
  <si>
    <t>- tarcze znaków typ B</t>
  </si>
  <si>
    <t>- tarcze znaków typ C</t>
  </si>
  <si>
    <t>- tarcze znaków typ D</t>
  </si>
  <si>
    <t>- bariery typu  H1W3B</t>
  </si>
  <si>
    <t>D.01.02.01</t>
  </si>
  <si>
    <t>Usunięcie drzew i krzewów</t>
  </si>
  <si>
    <t>- bariery typu  N2W5A</t>
  </si>
  <si>
    <t>TABELA ELEMENTÓW ROZLICZENIOWYCH</t>
  </si>
  <si>
    <t>Numer
STWiORB</t>
  </si>
  <si>
    <t>Cena jedn.</t>
  </si>
  <si>
    <t>Wartość</t>
  </si>
  <si>
    <t>1. ROBOTY DROGOWE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</si>
</sst>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&quot;$&quot;____######0_);[Red]\(&quot;$&quot;____#####0\)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Helv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Pl Courier New"/>
    </font>
    <font>
      <sz val="10"/>
      <name val="Times New Roman CE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22" fillId="7" borderId="1" applyNumberFormat="0" applyAlignment="0" applyProtection="0"/>
    <xf numFmtId="0" fontId="27" fillId="20" borderId="3" applyNumberFormat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22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0" fontId="18" fillId="23" borderId="7" applyNumberFormat="0" applyBorder="0" applyAlignment="0" applyProtection="0"/>
    <xf numFmtId="0" fontId="23" fillId="0" borderId="8" applyNumberFormat="0" applyFill="0" applyAlignment="0" applyProtection="0"/>
    <xf numFmtId="0" fontId="15" fillId="21" borderId="2" applyNumberFormat="0" applyAlignment="0" applyProtection="0"/>
    <xf numFmtId="0" fontId="23" fillId="0" borderId="8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ont="0" applyFill="0" applyBorder="0" applyAlignment="0" applyProtection="0"/>
    <xf numFmtId="164" fontId="26" fillId="0" borderId="0"/>
    <xf numFmtId="0" fontId="8" fillId="0" borderId="0"/>
    <xf numFmtId="0" fontId="37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8" fillId="0" borderId="0"/>
    <xf numFmtId="0" fontId="38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4" fillId="0" borderId="0"/>
    <xf numFmtId="0" fontId="11" fillId="25" borderId="9" applyNumberFormat="0" applyFont="0" applyAlignment="0" applyProtection="0"/>
    <xf numFmtId="0" fontId="14" fillId="20" borderId="1" applyNumberFormat="0" applyAlignment="0" applyProtection="0"/>
    <xf numFmtId="0" fontId="25" fillId="0" borderId="10" applyNumberFormat="0" applyFont="0" applyFill="0" applyBorder="0" applyProtection="0">
      <alignment vertical="top" wrapText="1"/>
    </xf>
    <xf numFmtId="0" fontId="27" fillId="20" borderId="3" applyNumberFormat="0" applyAlignment="0" applyProtection="0"/>
    <xf numFmtId="10" fontId="2" fillId="0" borderId="0" applyFont="0" applyFill="0" applyBorder="0" applyAlignment="0" applyProtection="0"/>
    <xf numFmtId="0" fontId="8" fillId="0" borderId="0"/>
    <xf numFmtId="0" fontId="2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" fillId="25" borderId="9" applyNumberFormat="0" applyFont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/>
  </cellStyleXfs>
  <cellXfs count="140">
    <xf numFmtId="0" fontId="0" fillId="0" borderId="0" xfId="0"/>
    <xf numFmtId="0" fontId="6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Protection="1"/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5" fillId="22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166"/>
    <xf numFmtId="0" fontId="3" fillId="0" borderId="0" xfId="167" applyFont="1" applyBorder="1" applyAlignment="1">
      <alignment vertical="center"/>
    </xf>
    <xf numFmtId="0" fontId="7" fillId="0" borderId="0" xfId="166" applyFont="1" applyAlignment="1">
      <alignment horizontal="center" vertical="center" wrapText="1"/>
    </xf>
    <xf numFmtId="49" fontId="7" fillId="0" borderId="0" xfId="166" applyNumberFormat="1" applyFont="1" applyAlignment="1">
      <alignment vertical="center" wrapText="1"/>
    </xf>
    <xf numFmtId="4" fontId="7" fillId="0" borderId="0" xfId="166" applyNumberFormat="1" applyFont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14" xfId="166" applyFont="1" applyFill="1" applyBorder="1" applyAlignment="1">
      <alignment horizontal="center" vertical="center" wrapText="1"/>
    </xf>
    <xf numFmtId="0" fontId="31" fillId="0" borderId="0" xfId="0" applyFont="1" applyFill="1"/>
    <xf numFmtId="4" fontId="31" fillId="0" borderId="0" xfId="0" applyNumberFormat="1" applyFont="1" applyFill="1"/>
    <xf numFmtId="0" fontId="31" fillId="0" borderId="0" xfId="0" applyFont="1"/>
    <xf numFmtId="4" fontId="7" fillId="0" borderId="0" xfId="0" applyNumberFormat="1" applyFont="1" applyFill="1" applyBorder="1" applyProtection="1"/>
    <xf numFmtId="4" fontId="31" fillId="0" borderId="0" xfId="0" applyNumberFormat="1" applyFont="1"/>
    <xf numFmtId="0" fontId="3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quotePrefix="1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quotePrefix="1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9" fontId="36" fillId="0" borderId="16" xfId="0" quotePrefix="1" applyNumberFormat="1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lef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0" fontId="5" fillId="22" borderId="41" xfId="0" applyFont="1" applyFill="1" applyBorder="1" applyAlignment="1">
      <alignment horizontal="center" vertical="center" wrapText="1"/>
    </xf>
    <xf numFmtId="0" fontId="5" fillId="22" borderId="42" xfId="0" applyFont="1" applyFill="1" applyBorder="1" applyAlignment="1">
      <alignment horizontal="center" vertical="center" wrapText="1"/>
    </xf>
    <xf numFmtId="0" fontId="5" fillId="22" borderId="46" xfId="0" applyFont="1" applyFill="1" applyBorder="1" applyAlignment="1">
      <alignment horizontal="center" vertical="center" wrapText="1"/>
    </xf>
    <xf numFmtId="4" fontId="5" fillId="22" borderId="47" xfId="0" applyNumberFormat="1" applyFont="1" applyFill="1" applyBorder="1" applyAlignment="1">
      <alignment horizontal="center" vertical="center" wrapText="1"/>
    </xf>
    <xf numFmtId="0" fontId="2" fillId="0" borderId="0" xfId="183" applyFont="1" applyFill="1" applyBorder="1"/>
    <xf numFmtId="0" fontId="2" fillId="0" borderId="0" xfId="183" applyFont="1" applyFill="1"/>
    <xf numFmtId="0" fontId="5" fillId="0" borderId="51" xfId="0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4" fontId="36" fillId="0" borderId="40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4" fontId="35" fillId="0" borderId="36" xfId="0" applyNumberFormat="1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35" fillId="0" borderId="7" xfId="0" applyNumberFormat="1" applyFont="1" applyFill="1" applyBorder="1" applyAlignment="1">
      <alignment horizontal="center" vertical="center" wrapText="1"/>
    </xf>
    <xf numFmtId="4" fontId="5" fillId="22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" fontId="7" fillId="26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Protection="1"/>
    <xf numFmtId="49" fontId="7" fillId="0" borderId="21" xfId="166" applyNumberFormat="1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23" xfId="0" applyBorder="1"/>
    <xf numFmtId="0" fontId="3" fillId="0" borderId="24" xfId="166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3" fillId="0" borderId="24" xfId="167" applyFont="1" applyBorder="1" applyAlignment="1">
      <alignment horizontal="center" vertical="center"/>
    </xf>
    <xf numFmtId="0" fontId="5" fillId="0" borderId="27" xfId="166" applyFont="1" applyBorder="1" applyAlignment="1">
      <alignment horizontal="center" vertical="center" wrapText="1"/>
    </xf>
    <xf numFmtId="0" fontId="0" fillId="0" borderId="28" xfId="0" applyBorder="1"/>
    <xf numFmtId="49" fontId="5" fillId="0" borderId="29" xfId="166" applyNumberFormat="1" applyFont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9" xfId="0" applyBorder="1"/>
    <xf numFmtId="4" fontId="7" fillId="0" borderId="53" xfId="0" applyNumberFormat="1" applyFont="1" applyFill="1" applyBorder="1" applyAlignment="1">
      <alignment horizontal="center" vertical="center" wrapText="1"/>
    </xf>
    <xf numFmtId="4" fontId="7" fillId="0" borderId="54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57" xfId="0" applyNumberFormat="1" applyFont="1" applyFill="1" applyBorder="1" applyAlignment="1">
      <alignment horizontal="center" vertical="center" wrapText="1"/>
    </xf>
    <xf numFmtId="4" fontId="7" fillId="0" borderId="58" xfId="0" applyNumberFormat="1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 wrapText="1"/>
    </xf>
    <xf numFmtId="4" fontId="7" fillId="0" borderId="59" xfId="0" applyNumberFormat="1" applyFont="1" applyFill="1" applyBorder="1" applyAlignment="1">
      <alignment horizontal="center" vertical="center" wrapText="1"/>
    </xf>
    <xf numFmtId="4" fontId="7" fillId="0" borderId="6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4" fontId="7" fillId="0" borderId="56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49" fontId="7" fillId="0" borderId="34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5" fillId="22" borderId="34" xfId="0" applyFont="1" applyFill="1" applyBorder="1" applyAlignment="1" applyProtection="1">
      <alignment horizontal="left" vertical="center" wrapText="1"/>
      <protection hidden="1"/>
    </xf>
    <xf numFmtId="0" fontId="5" fillId="22" borderId="20" xfId="0" applyFont="1" applyFill="1" applyBorder="1" applyAlignment="1" applyProtection="1">
      <alignment horizontal="left" vertical="center" wrapText="1"/>
      <protection hidden="1"/>
    </xf>
    <xf numFmtId="49" fontId="5" fillId="0" borderId="34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5" fillId="22" borderId="43" xfId="0" applyNumberFormat="1" applyFont="1" applyFill="1" applyBorder="1" applyAlignment="1">
      <alignment horizontal="left" vertical="center" wrapText="1"/>
    </xf>
    <xf numFmtId="49" fontId="5" fillId="22" borderId="44" xfId="0" applyNumberFormat="1" applyFont="1" applyFill="1" applyBorder="1" applyAlignment="1">
      <alignment horizontal="left" vertical="center" wrapText="1"/>
    </xf>
    <xf numFmtId="49" fontId="5" fillId="22" borderId="45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/>
      <protection hidden="1"/>
    </xf>
    <xf numFmtId="0" fontId="5" fillId="0" borderId="20" xfId="0" applyFont="1" applyFill="1" applyBorder="1" applyAlignment="1" applyProtection="1">
      <alignment horizontal="left" vertical="center" wrapText="1"/>
      <protection hidden="1"/>
    </xf>
    <xf numFmtId="49" fontId="7" fillId="0" borderId="7" xfId="0" applyNumberFormat="1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5" xfId="167" applyFont="1" applyBorder="1" applyAlignment="1">
      <alignment horizontal="center" vertical="center"/>
    </xf>
    <xf numFmtId="49" fontId="5" fillId="22" borderId="34" xfId="0" applyNumberFormat="1" applyFont="1" applyFill="1" applyBorder="1" applyAlignment="1">
      <alignment horizontal="left" vertical="center" wrapText="1"/>
    </xf>
    <xf numFmtId="49" fontId="5" fillId="22" borderId="20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167" applyFont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4" fontId="39" fillId="0" borderId="49" xfId="183" applyNumberFormat="1" applyFont="1" applyFill="1" applyBorder="1" applyAlignment="1">
      <alignment horizontal="center"/>
    </xf>
  </cellXfs>
  <cellStyles count="184">
    <cellStyle name=" 1" xfId="1"/>
    <cellStyle name="_PERSONAL" xfId="2"/>
    <cellStyle name="_PERSONAL_1" xfId="3"/>
    <cellStyle name="_PERSONAL_1_A4 Inwest polskie IIpopr" xfId="4"/>
    <cellStyle name="_PERSONAL_1_A4 Inwest polskie IIpopr_PRZEDMIAR - szczegółowy" xfId="5"/>
    <cellStyle name="_PERSONAL_1_A4 Inwest polskie IIpopr_PRZEDMIAR - zagreg." xfId="6"/>
    <cellStyle name="_PERSONAL_1_Boleslawiec rynk" xfId="7"/>
    <cellStyle name="_PERSONAL_1_Boleslawiec rynk_PRZEDMIAR - szczegółowy" xfId="8"/>
    <cellStyle name="_PERSONAL_1_Boleslawiec rynk_PRZEDMIAR - zagreg." xfId="9"/>
    <cellStyle name="_PERSONAL_1_Buczyna Inwest" xfId="10"/>
    <cellStyle name="_PERSONAL_1_Buczyna Inwest_PRZEDMIAR - szczegółowy" xfId="11"/>
    <cellStyle name="_PERSONAL_1_Buczyna Inwest_PRZEDMIAR - zagreg." xfId="12"/>
    <cellStyle name="_PERSONAL_1_Inwest Belchatow 1" xfId="13"/>
    <cellStyle name="_PERSONAL_1_Inwest Belchatow 1_PRZEDMIAR - szczegółowy" xfId="14"/>
    <cellStyle name="_PERSONAL_1_Inwest Belchatow 1_PRZEDMIAR - zagreg." xfId="15"/>
    <cellStyle name="_PERSONAL_1_kladka Ruda" xfId="16"/>
    <cellStyle name="_PERSONAL_1_kladka Ruda_PRZEDMIAR - szczegółowy" xfId="17"/>
    <cellStyle name="_PERSONAL_1_kladka Ruda_PRZEDMIAR - zagreg." xfId="18"/>
    <cellStyle name="_PERSONAL_1_kladka Slodowa" xfId="19"/>
    <cellStyle name="_PERSONAL_1_kladka Slodowa_PRZEDMIAR - szczegółowy" xfId="20"/>
    <cellStyle name="_PERSONAL_1_kladka Slodowa_PRZEDMIAR - zagreg." xfId="21"/>
    <cellStyle name="_PERSONAL_1_KOSZTORYS_INWESTORSKI" xfId="22"/>
    <cellStyle name="_PERSONAL_1_KOSZTORYS_OFERTOWY_i_przedmiary" xfId="23"/>
    <cellStyle name="_PERSONAL_1_Legnica ofertowe II" xfId="24"/>
    <cellStyle name="_PERSONAL_1_Legnica ofertowe II_PRZEDMIAR - szczegółowy" xfId="25"/>
    <cellStyle name="_PERSONAL_1_Legnica ofertowe II_PRZEDMIAR - zagreg." xfId="26"/>
    <cellStyle name="_PERSONAL_1_Legnica rynkowe" xfId="27"/>
    <cellStyle name="_PERSONAL_1_Legnica rynkowe_PRZEDMIAR - szczegółowy" xfId="28"/>
    <cellStyle name="_PERSONAL_1_Legnica rynkowe_PRZEDMIAR - zagreg." xfId="29"/>
    <cellStyle name="_PERSONAL_1_LegnicaII" xfId="30"/>
    <cellStyle name="_PERSONAL_1_LegnicaII_PRZEDMIAR - szczegółowy" xfId="31"/>
    <cellStyle name="_PERSONAL_1_LegnicaII_PRZEDMIAR - zagreg." xfId="32"/>
    <cellStyle name="_PERSONAL_1_Lubin 2 slepy" xfId="33"/>
    <cellStyle name="_PERSONAL_1_Lubin 2 slepy_PRZEDMIAR - szczegółowy" xfId="34"/>
    <cellStyle name="_PERSONAL_1_Lubin 2 slepy_PRZEDMIAR - zagreg." xfId="35"/>
    <cellStyle name="_PERSONAL_1_Makolno slepy" xfId="36"/>
    <cellStyle name="_PERSONAL_1_Makolno Slepy 3" xfId="37"/>
    <cellStyle name="_PERSONAL_1_Makolno Slepy 3_PRZEDMIAR - szczegółowy" xfId="38"/>
    <cellStyle name="_PERSONAL_1_Makolno Slepy 3_PRZEDMIAR - zagreg." xfId="39"/>
    <cellStyle name="_PERSONAL_1_Makolno slepy_PRZEDMIAR - szczegółowy" xfId="40"/>
    <cellStyle name="_PERSONAL_1_Makolno slepy_PRZEDMIAR - zagreg." xfId="41"/>
    <cellStyle name="_PERSONAL_1_Most Milenijny" xfId="42"/>
    <cellStyle name="_PERSONAL_1_Most Milenijny_PRZEDMIAR - szczegółowy" xfId="43"/>
    <cellStyle name="_PERSONAL_1_Most Milenijny_PRZEDMIAR - zagreg." xfId="44"/>
    <cellStyle name="_PERSONAL_1_mosty Warszawskie" xfId="45"/>
    <cellStyle name="_PERSONAL_1_mosty Warszawskie_PRZEDMIAR - szczegółowy" xfId="46"/>
    <cellStyle name="_PERSONAL_1_mosty Warszawskie_PRZEDMIAR - zagreg." xfId="47"/>
    <cellStyle name="_PERSONAL_1_Mszczonow kladka popr" xfId="48"/>
    <cellStyle name="_PERSONAL_1_Mszczonow kladka popr_PRZEDMIAR - szczegółowy" xfId="49"/>
    <cellStyle name="_PERSONAL_1_Mszczonow kladka popr_PRZEDMIAR - zagreg." xfId="50"/>
    <cellStyle name="_PERSONAL_1_Piensk graniczny" xfId="51"/>
    <cellStyle name="_PERSONAL_1_Piensk graniczny_PRZEDMIAR - szczegółowy" xfId="52"/>
    <cellStyle name="_PERSONAL_1_Piensk graniczny_PRZEDMIAR - zagreg." xfId="53"/>
    <cellStyle name="_PERSONAL_1_Polkowice 2 slepy" xfId="54"/>
    <cellStyle name="_PERSONAL_1_Polkowice 2 slepy_PRZEDMIAR - szczegółowy" xfId="55"/>
    <cellStyle name="_PERSONAL_1_Polkowice 2 slepy_PRZEDMIAR - zagreg." xfId="56"/>
    <cellStyle name="_PERSONAL_1_PRZEDMIAR - szczegółowy" xfId="57"/>
    <cellStyle name="_PERSONAL_1_PRZEDMIAR - zagreg." xfId="58"/>
    <cellStyle name="_PERSONAL_1_Serock1" xfId="59"/>
    <cellStyle name="_PERSONAL_1_Serock1_PRZEDMIAR - szczegółowy" xfId="60"/>
    <cellStyle name="_PERSONAL_1_Serock1_PRZEDMIAR - zagreg." xfId="61"/>
    <cellStyle name="_PERSONAL_1_Serock12" xfId="62"/>
    <cellStyle name="_PERSONAL_1_Serock12_PRZEDMIAR - szczegółowy" xfId="63"/>
    <cellStyle name="_PERSONAL_1_Serock12_PRZEDMIAR - zagreg." xfId="64"/>
    <cellStyle name="_PERSONAL_1_Swidnica inwest" xfId="65"/>
    <cellStyle name="_PERSONAL_1_Swidnica inwest_PRZEDMIAR - szczegółowy" xfId="66"/>
    <cellStyle name="_PERSONAL_1_Swidnica inwest_PRZEDMIAR - zagreg." xfId="67"/>
    <cellStyle name="_PERSONAL_1_Tarnowka Inwestorski" xfId="68"/>
    <cellStyle name="_PERSONAL_1_Tarnowka Inwestorski_PRZEDMIAR - szczegółowy" xfId="69"/>
    <cellStyle name="_PERSONAL_1_Tarnowka Inwestorski_PRZEDMIAR - zagreg." xfId="70"/>
    <cellStyle name="_PERSONAL_1_Wd22 Inwest 2709" xfId="71"/>
    <cellStyle name="_PERSONAL_1_Wd22 Inwest 2709_PRZEDMIAR - szczegółowy" xfId="72"/>
    <cellStyle name="_PERSONAL_1_Wd22 Inwest 2709_PRZEDMIAR - zagreg." xfId="73"/>
    <cellStyle name="_PERSONAL_PRZEDMIAR - szczegółowy" xfId="74"/>
    <cellStyle name="_PERSONAL_PRZEDMIAR - zagreg." xfId="75"/>
    <cellStyle name="20% - Accent1" xfId="76"/>
    <cellStyle name="20% - Accent2" xfId="77"/>
    <cellStyle name="20% - Accent3" xfId="78"/>
    <cellStyle name="20% - Accent4" xfId="79"/>
    <cellStyle name="20% - Accent5" xfId="80"/>
    <cellStyle name="20% - Accent6" xfId="81"/>
    <cellStyle name="20% - akcent 1 2" xfId="82"/>
    <cellStyle name="20% - akcent 2 2" xfId="83"/>
    <cellStyle name="20% - akcent 3 2" xfId="84"/>
    <cellStyle name="20% - akcent 4 2" xfId="85"/>
    <cellStyle name="20% - akcent 5 2" xfId="86"/>
    <cellStyle name="20% - akcent 6 2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akcent 1 2" xfId="94"/>
    <cellStyle name="40% - akcent 2 2" xfId="95"/>
    <cellStyle name="40% - akcent 3 2" xfId="96"/>
    <cellStyle name="40% - akcent 4 2" xfId="97"/>
    <cellStyle name="40% - akcent 5 2" xfId="98"/>
    <cellStyle name="40% - akcent 6 2" xfId="99"/>
    <cellStyle name="60% - Accent1" xfId="100"/>
    <cellStyle name="60% - Accent2" xfId="101"/>
    <cellStyle name="60% - Accent3" xfId="102"/>
    <cellStyle name="60% - Accent4" xfId="103"/>
    <cellStyle name="60% - Accent5" xfId="104"/>
    <cellStyle name="60% - Accent6" xfId="105"/>
    <cellStyle name="60% - akcent 1 2" xfId="106"/>
    <cellStyle name="60% - akcent 2 2" xfId="107"/>
    <cellStyle name="60% - akcent 3 2" xfId="108"/>
    <cellStyle name="60% - akcent 4 2" xfId="109"/>
    <cellStyle name="60% - akcent 5 2" xfId="110"/>
    <cellStyle name="60% - akcent 6 2" xfId="111"/>
    <cellStyle name="Accent1" xfId="112"/>
    <cellStyle name="Accent2" xfId="113"/>
    <cellStyle name="Accent3" xfId="114"/>
    <cellStyle name="Accent4" xfId="115"/>
    <cellStyle name="Accent5" xfId="116"/>
    <cellStyle name="Accent6" xfId="117"/>
    <cellStyle name="Akcent 1 2" xfId="118"/>
    <cellStyle name="Akcent 2 2" xfId="119"/>
    <cellStyle name="Akcent 3 2" xfId="120"/>
    <cellStyle name="Akcent 4 2" xfId="121"/>
    <cellStyle name="Akcent 5 2" xfId="122"/>
    <cellStyle name="Akcent 6 2" xfId="123"/>
    <cellStyle name="Bad" xfId="124"/>
    <cellStyle name="Calculation" xfId="125"/>
    <cellStyle name="Check Cell" xfId="126"/>
    <cellStyle name="Dane wejściowe 2" xfId="127"/>
    <cellStyle name="Dane wyjściowe 2" xfId="128"/>
    <cellStyle name="Dobre 2" xfId="129"/>
    <cellStyle name="Dziesiętny 2" xfId="130"/>
    <cellStyle name="Explanatory Text" xfId="131"/>
    <cellStyle name="Good" xfId="132"/>
    <cellStyle name="Grey" xfId="133"/>
    <cellStyle name="Heading 1" xfId="134"/>
    <cellStyle name="Heading 2" xfId="135"/>
    <cellStyle name="Heading 3" xfId="136"/>
    <cellStyle name="Heading 4" xfId="137"/>
    <cellStyle name="Input" xfId="138"/>
    <cellStyle name="Input [yellow]" xfId="139"/>
    <cellStyle name="Komórka połączona 2" xfId="140"/>
    <cellStyle name="Komórka zaznaczona 2" xfId="141"/>
    <cellStyle name="Linked Cell" xfId="142"/>
    <cellStyle name="Nagłówek 1 2" xfId="143"/>
    <cellStyle name="Nagłówek 2 2" xfId="144"/>
    <cellStyle name="Nagłówek 3 2" xfId="145"/>
    <cellStyle name="Nagłówek 4 2" xfId="146"/>
    <cellStyle name="Neutral" xfId="147"/>
    <cellStyle name="Neutralne 2" xfId="148"/>
    <cellStyle name="None" xfId="149"/>
    <cellStyle name="Normal - Style1" xfId="150"/>
    <cellStyle name="normální_laroux" xfId="151"/>
    <cellStyle name="Normalny" xfId="0" builtinId="0"/>
    <cellStyle name="Normalny 2" xfId="152"/>
    <cellStyle name="Normalny 2 2" xfId="153"/>
    <cellStyle name="Normalny 2 2 2" xfId="154"/>
    <cellStyle name="Normalny 2 2_pr." xfId="155"/>
    <cellStyle name="Normalny 2 3" xfId="156"/>
    <cellStyle name="Normalny 2_G1 branże - przedmiar" xfId="157"/>
    <cellStyle name="Normalny 3" xfId="158"/>
    <cellStyle name="Normalny 3 2" xfId="159"/>
    <cellStyle name="Normalny 3 3" xfId="160"/>
    <cellStyle name="Normalny 3_pr." xfId="161"/>
    <cellStyle name="Normalny 4" xfId="162"/>
    <cellStyle name="Normalny 5" xfId="163"/>
    <cellStyle name="Normalny 6" xfId="164"/>
    <cellStyle name="Normalny 7" xfId="165"/>
    <cellStyle name="Normalny_DW725_przedmiar_0-3700" xfId="166"/>
    <cellStyle name="Normalny_Przedmiar robót_ostateczny" xfId="167"/>
    <cellStyle name="Normalny_Roboty drogowe" xfId="183"/>
    <cellStyle name="Note" xfId="168"/>
    <cellStyle name="Obliczenia 2" xfId="169"/>
    <cellStyle name="Opis" xfId="170"/>
    <cellStyle name="Output" xfId="171"/>
    <cellStyle name="Percent [2]" xfId="172"/>
    <cellStyle name="Styl 1" xfId="173"/>
    <cellStyle name="Suma 2" xfId="174"/>
    <cellStyle name="Tekst objaśnienia 2" xfId="175"/>
    <cellStyle name="Tekst ostrzeżenia 2" xfId="176"/>
    <cellStyle name="Title" xfId="177"/>
    <cellStyle name="Total" xfId="178"/>
    <cellStyle name="Tytuł 2" xfId="179"/>
    <cellStyle name="Uwaga 2" xfId="180"/>
    <cellStyle name="Warning Text" xfId="181"/>
    <cellStyle name="Złe 2" xfId="1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Normal="100" zoomScaleSheetLayoutView="100" workbookViewId="0">
      <selection activeCell="B5" sqref="A1:D5"/>
    </sheetView>
  </sheetViews>
  <sheetFormatPr defaultColWidth="49.28515625" defaultRowHeight="12.75"/>
  <cols>
    <col min="1" max="1" width="7" style="14" customWidth="1"/>
    <col min="2" max="2" width="49.28515625" style="15" customWidth="1"/>
    <col min="3" max="3" width="9.7109375" style="14" customWidth="1"/>
    <col min="4" max="4" width="16.7109375" style="16" customWidth="1"/>
    <col min="5" max="5" width="9.140625" style="12" customWidth="1"/>
    <col min="6" max="6" width="21.85546875" style="12" customWidth="1"/>
    <col min="7" max="7" width="10.140625" style="12" bestFit="1" customWidth="1"/>
    <col min="8" max="10" width="9.140625" style="12" customWidth="1"/>
    <col min="11" max="11" width="15.7109375" style="12" customWidth="1"/>
    <col min="12" max="254" width="9.140625" style="12" customWidth="1"/>
    <col min="255" max="255" width="7" style="12" customWidth="1"/>
    <col min="256" max="16384" width="49.28515625" style="12"/>
  </cols>
  <sheetData>
    <row r="1" spans="1:5" ht="99.95" customHeight="1" thickBot="1">
      <c r="A1" s="68" t="s">
        <v>128</v>
      </c>
      <c r="B1" s="69"/>
      <c r="C1" s="69"/>
      <c r="D1" s="70"/>
    </row>
    <row r="2" spans="1:5" customFormat="1" ht="30" customHeight="1" thickBot="1">
      <c r="A2" s="71" t="s">
        <v>64</v>
      </c>
      <c r="B2" s="69"/>
      <c r="C2" s="69"/>
      <c r="D2" s="70"/>
      <c r="E2" s="13"/>
    </row>
    <row r="3" spans="1:5" ht="15" customHeight="1">
      <c r="A3" s="72" t="s">
        <v>129</v>
      </c>
      <c r="B3" s="74" t="s">
        <v>130</v>
      </c>
      <c r="C3" s="75"/>
      <c r="D3" s="76"/>
    </row>
    <row r="4" spans="1:5" ht="15" customHeight="1" thickBot="1">
      <c r="A4" s="73"/>
      <c r="B4" s="77"/>
      <c r="C4" s="78"/>
      <c r="D4" s="79"/>
    </row>
    <row r="5" spans="1:5" ht="26.1" customHeight="1" thickBot="1">
      <c r="A5" s="18">
        <v>1</v>
      </c>
      <c r="B5" s="65" t="s">
        <v>0</v>
      </c>
      <c r="C5" s="66"/>
      <c r="D5" s="67"/>
    </row>
  </sheetData>
  <mergeCells count="5">
    <mergeCell ref="B5:D5"/>
    <mergeCell ref="A1:D1"/>
    <mergeCell ref="A2:D2"/>
    <mergeCell ref="A3:A4"/>
    <mergeCell ref="B3:D4"/>
  </mergeCells>
  <phoneticPr fontId="34" type="noConversion"/>
  <printOptions horizontalCentered="1"/>
  <pageMargins left="0.98425196850393704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M365"/>
  <sheetViews>
    <sheetView tabSelected="1" view="pageBreakPreview" topLeftCell="A351" zoomScaleNormal="100" zoomScaleSheetLayoutView="100" workbookViewId="0">
      <selection activeCell="D364" sqref="D364"/>
    </sheetView>
  </sheetViews>
  <sheetFormatPr defaultRowHeight="12.75"/>
  <cols>
    <col min="1" max="1" width="7" style="8" customWidth="1"/>
    <col min="2" max="2" width="15" style="8" customWidth="1"/>
    <col min="3" max="3" width="41.7109375" style="9" customWidth="1"/>
    <col min="4" max="4" width="7.28515625" style="9" bestFit="1" customWidth="1"/>
    <col min="5" max="5" width="10" style="9" bestFit="1" customWidth="1"/>
    <col min="6" max="8" width="11.28515625" style="8" customWidth="1"/>
    <col min="9" max="9" width="10.85546875" style="10" bestFit="1" customWidth="1"/>
    <col min="10" max="10" width="10.140625" style="19" bestFit="1" customWidth="1"/>
    <col min="11" max="16384" width="9.140625" style="19"/>
  </cols>
  <sheetData>
    <row r="1" spans="1:13" ht="99.95" customHeight="1" thickBot="1">
      <c r="A1" s="132" t="s">
        <v>128</v>
      </c>
      <c r="B1" s="133"/>
      <c r="C1" s="133"/>
      <c r="D1" s="133"/>
      <c r="E1" s="133"/>
      <c r="F1" s="133"/>
      <c r="G1" s="133"/>
      <c r="H1" s="133"/>
      <c r="I1" s="134"/>
    </row>
    <row r="2" spans="1:13" ht="24.95" customHeight="1" thickBot="1">
      <c r="A2" s="71" t="s">
        <v>157</v>
      </c>
      <c r="B2" s="129"/>
      <c r="C2" s="129"/>
      <c r="D2" s="129"/>
      <c r="E2" s="129"/>
      <c r="F2" s="129"/>
      <c r="G2" s="129"/>
      <c r="H2" s="129"/>
      <c r="I2" s="135"/>
    </row>
    <row r="3" spans="1:13" s="1" customFormat="1" ht="15" customHeight="1">
      <c r="A3" s="116" t="s">
        <v>129</v>
      </c>
      <c r="B3" s="103" t="s">
        <v>158</v>
      </c>
      <c r="C3" s="104" t="s">
        <v>130</v>
      </c>
      <c r="D3" s="105"/>
      <c r="E3" s="106"/>
      <c r="F3" s="103" t="s">
        <v>131</v>
      </c>
      <c r="G3" s="103"/>
      <c r="H3" s="125" t="s">
        <v>159</v>
      </c>
      <c r="I3" s="127" t="s">
        <v>160</v>
      </c>
    </row>
    <row r="4" spans="1:13" s="1" customFormat="1" ht="15" customHeight="1" thickBot="1">
      <c r="A4" s="117"/>
      <c r="B4" s="118"/>
      <c r="C4" s="107"/>
      <c r="D4" s="108"/>
      <c r="E4" s="109"/>
      <c r="F4" s="50" t="s">
        <v>132</v>
      </c>
      <c r="G4" s="51" t="s">
        <v>133</v>
      </c>
      <c r="H4" s="126"/>
      <c r="I4" s="128"/>
    </row>
    <row r="5" spans="1:13" s="49" customFormat="1" ht="33" customHeight="1" thickBot="1">
      <c r="A5" s="136" t="s">
        <v>161</v>
      </c>
      <c r="B5" s="137"/>
      <c r="C5" s="137"/>
      <c r="D5" s="137"/>
      <c r="E5" s="137"/>
      <c r="F5" s="137"/>
      <c r="G5" s="137"/>
      <c r="H5" s="138"/>
      <c r="I5" s="139">
        <f>I6+I69+I92+I162+I207+I220+I285+I362</f>
        <v>0</v>
      </c>
      <c r="J5" s="48"/>
      <c r="K5" s="48"/>
      <c r="L5" s="48"/>
      <c r="M5" s="48"/>
    </row>
    <row r="6" spans="1:13" ht="30" customHeight="1" thickBot="1">
      <c r="A6" s="44">
        <v>1</v>
      </c>
      <c r="B6" s="45" t="s">
        <v>1</v>
      </c>
      <c r="C6" s="119" t="s">
        <v>134</v>
      </c>
      <c r="D6" s="120"/>
      <c r="E6" s="121"/>
      <c r="F6" s="45" t="s">
        <v>135</v>
      </c>
      <c r="G6" s="46" t="s">
        <v>135</v>
      </c>
      <c r="H6" s="46" t="s">
        <v>135</v>
      </c>
      <c r="I6" s="47">
        <f>I7+I19+I36</f>
        <v>0</v>
      </c>
    </row>
    <row r="7" spans="1:13" ht="30" customHeight="1">
      <c r="A7" s="28">
        <f>A6+1</f>
        <v>2</v>
      </c>
      <c r="B7" s="24" t="s">
        <v>2</v>
      </c>
      <c r="C7" s="114" t="s">
        <v>3</v>
      </c>
      <c r="D7" s="115"/>
      <c r="E7" s="115"/>
      <c r="F7" s="54" t="s">
        <v>4</v>
      </c>
      <c r="G7" s="55">
        <f>SUM(E8:E18)</f>
        <v>4.1537200000000007</v>
      </c>
      <c r="H7" s="56"/>
      <c r="I7" s="57">
        <f>G7*H7</f>
        <v>0</v>
      </c>
    </row>
    <row r="8" spans="1:13" ht="30" customHeight="1">
      <c r="A8" s="28">
        <f t="shared" ref="A8:A71" si="0">A7+1</f>
        <v>3</v>
      </c>
      <c r="B8" s="31"/>
      <c r="C8" s="32" t="s">
        <v>144</v>
      </c>
      <c r="D8" s="33" t="s">
        <v>4</v>
      </c>
      <c r="E8" s="42">
        <f>1291.25/1000</f>
        <v>1.29125</v>
      </c>
      <c r="F8" s="80"/>
      <c r="G8" s="81"/>
      <c r="H8" s="81"/>
      <c r="I8" s="82"/>
    </row>
    <row r="9" spans="1:13" ht="30" customHeight="1">
      <c r="A9" s="28">
        <f t="shared" si="0"/>
        <v>4</v>
      </c>
      <c r="B9" s="31"/>
      <c r="C9" s="32" t="s">
        <v>143</v>
      </c>
      <c r="D9" s="33" t="s">
        <v>4</v>
      </c>
      <c r="E9" s="42">
        <f>1224.33/1000</f>
        <v>1.2243299999999999</v>
      </c>
      <c r="F9" s="83"/>
      <c r="G9" s="84"/>
      <c r="H9" s="84"/>
      <c r="I9" s="85"/>
    </row>
    <row r="10" spans="1:13" ht="30" customHeight="1">
      <c r="A10" s="28">
        <f t="shared" si="0"/>
        <v>5</v>
      </c>
      <c r="B10" s="31"/>
      <c r="C10" s="32" t="s">
        <v>145</v>
      </c>
      <c r="D10" s="33" t="s">
        <v>4</v>
      </c>
      <c r="E10" s="42">
        <f>241.75/1000</f>
        <v>0.24174999999999999</v>
      </c>
      <c r="F10" s="83"/>
      <c r="G10" s="84"/>
      <c r="H10" s="84"/>
      <c r="I10" s="85"/>
    </row>
    <row r="11" spans="1:13" ht="30" customHeight="1">
      <c r="A11" s="28">
        <f t="shared" si="0"/>
        <v>6</v>
      </c>
      <c r="B11" s="31"/>
      <c r="C11" s="32" t="s">
        <v>146</v>
      </c>
      <c r="D11" s="33" t="s">
        <v>4</v>
      </c>
      <c r="E11" s="42">
        <f>140.43/1000</f>
        <v>0.14043</v>
      </c>
      <c r="F11" s="83"/>
      <c r="G11" s="84"/>
      <c r="H11" s="84"/>
      <c r="I11" s="85"/>
    </row>
    <row r="12" spans="1:13" ht="30" customHeight="1">
      <c r="A12" s="28">
        <f t="shared" si="0"/>
        <v>7</v>
      </c>
      <c r="B12" s="31"/>
      <c r="C12" s="32" t="s">
        <v>147</v>
      </c>
      <c r="D12" s="33" t="s">
        <v>4</v>
      </c>
      <c r="E12" s="42">
        <f>59/1000</f>
        <v>5.8999999999999997E-2</v>
      </c>
      <c r="F12" s="83"/>
      <c r="G12" s="84"/>
      <c r="H12" s="84"/>
      <c r="I12" s="85"/>
    </row>
    <row r="13" spans="1:13" ht="30" customHeight="1">
      <c r="A13" s="28">
        <f t="shared" si="0"/>
        <v>8</v>
      </c>
      <c r="B13" s="31"/>
      <c r="C13" s="32" t="s">
        <v>100</v>
      </c>
      <c r="D13" s="33" t="s">
        <v>4</v>
      </c>
      <c r="E13" s="42">
        <f>282.44/1000</f>
        <v>0.28244000000000002</v>
      </c>
      <c r="F13" s="83"/>
      <c r="G13" s="84"/>
      <c r="H13" s="84"/>
      <c r="I13" s="85"/>
    </row>
    <row r="14" spans="1:13" ht="30" customHeight="1">
      <c r="A14" s="28">
        <f t="shared" si="0"/>
        <v>9</v>
      </c>
      <c r="B14" s="31"/>
      <c r="C14" s="32" t="s">
        <v>108</v>
      </c>
      <c r="D14" s="33" t="s">
        <v>4</v>
      </c>
      <c r="E14" s="42">
        <f>234.5/1000</f>
        <v>0.23449999999999999</v>
      </c>
      <c r="F14" s="83"/>
      <c r="G14" s="84"/>
      <c r="H14" s="84"/>
      <c r="I14" s="85"/>
    </row>
    <row r="15" spans="1:13" ht="30" customHeight="1">
      <c r="A15" s="28">
        <f t="shared" si="0"/>
        <v>10</v>
      </c>
      <c r="B15" s="31"/>
      <c r="C15" s="32" t="s">
        <v>107</v>
      </c>
      <c r="D15" s="33" t="s">
        <v>4</v>
      </c>
      <c r="E15" s="42">
        <f>386.53/1000</f>
        <v>0.38652999999999998</v>
      </c>
      <c r="F15" s="83"/>
      <c r="G15" s="84"/>
      <c r="H15" s="84"/>
      <c r="I15" s="85"/>
    </row>
    <row r="16" spans="1:13" ht="30" customHeight="1">
      <c r="A16" s="28">
        <f t="shared" si="0"/>
        <v>11</v>
      </c>
      <c r="B16" s="31"/>
      <c r="C16" s="32" t="s">
        <v>105</v>
      </c>
      <c r="D16" s="33" t="s">
        <v>4</v>
      </c>
      <c r="E16" s="42">
        <f>84.53/1000</f>
        <v>8.4530000000000008E-2</v>
      </c>
      <c r="F16" s="83"/>
      <c r="G16" s="84"/>
      <c r="H16" s="84"/>
      <c r="I16" s="85"/>
    </row>
    <row r="17" spans="1:10" ht="30" customHeight="1">
      <c r="A17" s="28">
        <f t="shared" si="0"/>
        <v>12</v>
      </c>
      <c r="B17" s="31"/>
      <c r="C17" s="32" t="s">
        <v>104</v>
      </c>
      <c r="D17" s="33" t="s">
        <v>4</v>
      </c>
      <c r="E17" s="42">
        <f>20/1000</f>
        <v>0.02</v>
      </c>
      <c r="F17" s="83"/>
      <c r="G17" s="84"/>
      <c r="H17" s="84"/>
      <c r="I17" s="85"/>
    </row>
    <row r="18" spans="1:10" ht="30" customHeight="1">
      <c r="A18" s="28">
        <f t="shared" si="0"/>
        <v>13</v>
      </c>
      <c r="B18" s="31"/>
      <c r="C18" s="32" t="s">
        <v>106</v>
      </c>
      <c r="D18" s="33" t="s">
        <v>4</v>
      </c>
      <c r="E18" s="42">
        <f>188.96/1000</f>
        <v>0.18896000000000002</v>
      </c>
      <c r="F18" s="86"/>
      <c r="G18" s="87"/>
      <c r="H18" s="87"/>
      <c r="I18" s="88"/>
    </row>
    <row r="19" spans="1:10" ht="30" customHeight="1">
      <c r="A19" s="28">
        <f t="shared" si="0"/>
        <v>14</v>
      </c>
      <c r="B19" s="3" t="s">
        <v>154</v>
      </c>
      <c r="C19" s="37" t="s">
        <v>155</v>
      </c>
      <c r="D19" s="3" t="s">
        <v>135</v>
      </c>
      <c r="E19" s="52" t="s">
        <v>135</v>
      </c>
      <c r="F19" s="58" t="s">
        <v>135</v>
      </c>
      <c r="G19" s="38" t="s">
        <v>135</v>
      </c>
      <c r="H19" s="38" t="s">
        <v>135</v>
      </c>
      <c r="I19" s="4">
        <f>SUM(I20:I24)</f>
        <v>0</v>
      </c>
    </row>
    <row r="20" spans="1:10" ht="30" customHeight="1">
      <c r="A20" s="28">
        <f t="shared" si="0"/>
        <v>15</v>
      </c>
      <c r="B20" s="3"/>
      <c r="C20" s="99" t="s">
        <v>80</v>
      </c>
      <c r="D20" s="100"/>
      <c r="E20" s="100"/>
      <c r="F20" s="2" t="s">
        <v>138</v>
      </c>
      <c r="G20" s="38">
        <v>1223</v>
      </c>
      <c r="H20" s="3"/>
      <c r="I20" s="4">
        <f>G20*H20</f>
        <v>0</v>
      </c>
    </row>
    <row r="21" spans="1:10" ht="30" customHeight="1">
      <c r="A21" s="28">
        <f t="shared" si="0"/>
        <v>16</v>
      </c>
      <c r="B21" s="3"/>
      <c r="C21" s="99" t="s">
        <v>5</v>
      </c>
      <c r="D21" s="100"/>
      <c r="E21" s="100"/>
      <c r="F21" s="2" t="s">
        <v>138</v>
      </c>
      <c r="G21" s="38">
        <v>6</v>
      </c>
      <c r="H21" s="3"/>
      <c r="I21" s="4">
        <f>G21*H21</f>
        <v>0</v>
      </c>
    </row>
    <row r="22" spans="1:10" ht="30" customHeight="1">
      <c r="A22" s="28">
        <f t="shared" si="0"/>
        <v>17</v>
      </c>
      <c r="B22" s="3"/>
      <c r="C22" s="99" t="s">
        <v>81</v>
      </c>
      <c r="D22" s="100"/>
      <c r="E22" s="100"/>
      <c r="F22" s="2" t="s">
        <v>138</v>
      </c>
      <c r="G22" s="38">
        <v>7</v>
      </c>
      <c r="H22" s="3"/>
      <c r="I22" s="4">
        <f>G22*H22</f>
        <v>0</v>
      </c>
    </row>
    <row r="23" spans="1:10" ht="30" customHeight="1">
      <c r="A23" s="28">
        <f t="shared" si="0"/>
        <v>18</v>
      </c>
      <c r="B23" s="3"/>
      <c r="C23" s="99" t="s">
        <v>82</v>
      </c>
      <c r="D23" s="100"/>
      <c r="E23" s="100"/>
      <c r="F23" s="2" t="s">
        <v>138</v>
      </c>
      <c r="G23" s="38">
        <v>67</v>
      </c>
      <c r="H23" s="3"/>
      <c r="I23" s="4">
        <f>G23*H23</f>
        <v>0</v>
      </c>
      <c r="J23" s="20"/>
    </row>
    <row r="24" spans="1:10" ht="30" customHeight="1">
      <c r="A24" s="28">
        <f t="shared" si="0"/>
        <v>19</v>
      </c>
      <c r="B24" s="3"/>
      <c r="C24" s="97" t="s">
        <v>6</v>
      </c>
      <c r="D24" s="98"/>
      <c r="E24" s="98"/>
      <c r="F24" s="2" t="s">
        <v>7</v>
      </c>
      <c r="G24" s="38">
        <f>2933/10000</f>
        <v>0.29330000000000001</v>
      </c>
      <c r="H24" s="3"/>
      <c r="I24" s="4">
        <f>G24*H24</f>
        <v>0</v>
      </c>
    </row>
    <row r="25" spans="1:10" ht="30" customHeight="1">
      <c r="A25" s="28">
        <f t="shared" si="0"/>
        <v>20</v>
      </c>
      <c r="B25" s="17" t="s">
        <v>8</v>
      </c>
      <c r="C25" s="95" t="s">
        <v>9</v>
      </c>
      <c r="D25" s="96"/>
      <c r="E25" s="96"/>
      <c r="F25" s="2" t="s">
        <v>135</v>
      </c>
      <c r="G25" s="38" t="s">
        <v>135</v>
      </c>
      <c r="H25" s="3" t="s">
        <v>135</v>
      </c>
      <c r="I25" s="4">
        <f>I26</f>
        <v>0</v>
      </c>
    </row>
    <row r="26" spans="1:10" ht="30" customHeight="1">
      <c r="A26" s="28">
        <f t="shared" si="0"/>
        <v>21</v>
      </c>
      <c r="B26" s="24"/>
      <c r="C26" s="114" t="s">
        <v>121</v>
      </c>
      <c r="D26" s="115"/>
      <c r="E26" s="115"/>
      <c r="F26" s="28" t="s">
        <v>136</v>
      </c>
      <c r="G26" s="59">
        <f>SUM(E27:E35)</f>
        <v>13966.910000000002</v>
      </c>
      <c r="H26" s="24"/>
      <c r="I26" s="4">
        <f>G26*H26</f>
        <v>0</v>
      </c>
    </row>
    <row r="27" spans="1:10" ht="30" customHeight="1">
      <c r="A27" s="28">
        <f t="shared" si="0"/>
        <v>22</v>
      </c>
      <c r="B27" s="31"/>
      <c r="C27" s="32" t="s">
        <v>144</v>
      </c>
      <c r="D27" s="33" t="s">
        <v>136</v>
      </c>
      <c r="E27" s="42">
        <v>4375.2</v>
      </c>
      <c r="F27" s="80"/>
      <c r="G27" s="81"/>
      <c r="H27" s="81"/>
      <c r="I27" s="82"/>
    </row>
    <row r="28" spans="1:10" ht="30" customHeight="1">
      <c r="A28" s="28">
        <f t="shared" si="0"/>
        <v>23</v>
      </c>
      <c r="B28" s="31"/>
      <c r="C28" s="32" t="s">
        <v>143</v>
      </c>
      <c r="D28" s="33" t="s">
        <v>136</v>
      </c>
      <c r="E28" s="42">
        <v>4575.18</v>
      </c>
      <c r="F28" s="83"/>
      <c r="G28" s="84"/>
      <c r="H28" s="84"/>
      <c r="I28" s="85"/>
    </row>
    <row r="29" spans="1:10" ht="30" customHeight="1">
      <c r="A29" s="28">
        <f t="shared" si="0"/>
        <v>24</v>
      </c>
      <c r="B29" s="31"/>
      <c r="C29" s="32" t="s">
        <v>145</v>
      </c>
      <c r="D29" s="33" t="s">
        <v>136</v>
      </c>
      <c r="E29" s="42">
        <v>848.16</v>
      </c>
      <c r="F29" s="83"/>
      <c r="G29" s="84"/>
      <c r="H29" s="84"/>
      <c r="I29" s="85"/>
    </row>
    <row r="30" spans="1:10" ht="30" customHeight="1">
      <c r="A30" s="28">
        <f t="shared" si="0"/>
        <v>25</v>
      </c>
      <c r="B30" s="31"/>
      <c r="C30" s="32" t="s">
        <v>146</v>
      </c>
      <c r="D30" s="33" t="s">
        <v>136</v>
      </c>
      <c r="E30" s="42">
        <v>343.34</v>
      </c>
      <c r="F30" s="83"/>
      <c r="G30" s="84"/>
      <c r="H30" s="84"/>
      <c r="I30" s="85"/>
    </row>
    <row r="31" spans="1:10" ht="30" customHeight="1">
      <c r="A31" s="28">
        <f t="shared" si="0"/>
        <v>26</v>
      </c>
      <c r="B31" s="31"/>
      <c r="C31" s="32" t="s">
        <v>147</v>
      </c>
      <c r="D31" s="33" t="s">
        <v>136</v>
      </c>
      <c r="E31" s="42">
        <v>140.51</v>
      </c>
      <c r="F31" s="83"/>
      <c r="G31" s="84"/>
      <c r="H31" s="84"/>
      <c r="I31" s="85"/>
    </row>
    <row r="32" spans="1:10" ht="30" customHeight="1">
      <c r="A32" s="28">
        <f t="shared" si="0"/>
        <v>27</v>
      </c>
      <c r="B32" s="31"/>
      <c r="C32" s="32" t="s">
        <v>100</v>
      </c>
      <c r="D32" s="33" t="s">
        <v>136</v>
      </c>
      <c r="E32" s="42">
        <v>1010.94</v>
      </c>
      <c r="F32" s="83"/>
      <c r="G32" s="84"/>
      <c r="H32" s="84"/>
      <c r="I32" s="85"/>
    </row>
    <row r="33" spans="1:10" ht="30" customHeight="1">
      <c r="A33" s="28">
        <f t="shared" si="0"/>
        <v>28</v>
      </c>
      <c r="B33" s="31"/>
      <c r="C33" s="32" t="s">
        <v>108</v>
      </c>
      <c r="D33" s="33" t="s">
        <v>136</v>
      </c>
      <c r="E33" s="42">
        <v>1391.64</v>
      </c>
      <c r="F33" s="83"/>
      <c r="G33" s="84"/>
      <c r="H33" s="84"/>
      <c r="I33" s="85"/>
    </row>
    <row r="34" spans="1:10" ht="30" customHeight="1">
      <c r="A34" s="28">
        <f t="shared" si="0"/>
        <v>29</v>
      </c>
      <c r="B34" s="31"/>
      <c r="C34" s="32" t="s">
        <v>107</v>
      </c>
      <c r="D34" s="33" t="s">
        <v>136</v>
      </c>
      <c r="E34" s="42">
        <v>851.42</v>
      </c>
      <c r="F34" s="83"/>
      <c r="G34" s="84"/>
      <c r="H34" s="84"/>
      <c r="I34" s="85"/>
    </row>
    <row r="35" spans="1:10" ht="30" customHeight="1">
      <c r="A35" s="28">
        <f t="shared" si="0"/>
        <v>30</v>
      </c>
      <c r="B35" s="31"/>
      <c r="C35" s="32" t="s">
        <v>106</v>
      </c>
      <c r="D35" s="33" t="s">
        <v>136</v>
      </c>
      <c r="E35" s="42">
        <v>430.52</v>
      </c>
      <c r="F35" s="86"/>
      <c r="G35" s="87"/>
      <c r="H35" s="87"/>
      <c r="I35" s="88"/>
    </row>
    <row r="36" spans="1:10" ht="30" customHeight="1">
      <c r="A36" s="28">
        <f t="shared" si="0"/>
        <v>31</v>
      </c>
      <c r="B36" s="3" t="s">
        <v>10</v>
      </c>
      <c r="C36" s="99" t="s">
        <v>120</v>
      </c>
      <c r="D36" s="100"/>
      <c r="E36" s="100"/>
      <c r="F36" s="2" t="s">
        <v>135</v>
      </c>
      <c r="G36" s="38" t="s">
        <v>135</v>
      </c>
      <c r="H36" s="3"/>
      <c r="I36" s="4">
        <f>I37+I45+I53+I60+I67+I68</f>
        <v>0</v>
      </c>
    </row>
    <row r="37" spans="1:10" ht="30" customHeight="1">
      <c r="A37" s="28">
        <f t="shared" si="0"/>
        <v>32</v>
      </c>
      <c r="B37" s="3"/>
      <c r="C37" s="99" t="s">
        <v>11</v>
      </c>
      <c r="D37" s="100"/>
      <c r="E37" s="100"/>
      <c r="F37" s="2" t="s">
        <v>139</v>
      </c>
      <c r="G37" s="38">
        <f>SUM(E38:E44)</f>
        <v>8768.4959999999992</v>
      </c>
      <c r="H37" s="3"/>
      <c r="I37" s="4">
        <f>G37*H37</f>
        <v>0</v>
      </c>
      <c r="J37" s="20"/>
    </row>
    <row r="38" spans="1:10" ht="30" customHeight="1">
      <c r="A38" s="28">
        <f t="shared" si="0"/>
        <v>33</v>
      </c>
      <c r="B38" s="31"/>
      <c r="C38" s="32" t="s">
        <v>100</v>
      </c>
      <c r="D38" s="33" t="s">
        <v>139</v>
      </c>
      <c r="E38" s="42">
        <f>5.5*(364.6-73.04)*1.2</f>
        <v>1924.2959999999998</v>
      </c>
      <c r="F38" s="80"/>
      <c r="G38" s="81"/>
      <c r="H38" s="81"/>
      <c r="I38" s="82"/>
    </row>
    <row r="39" spans="1:10" ht="30" customHeight="1">
      <c r="A39" s="28">
        <f t="shared" si="0"/>
        <v>34</v>
      </c>
      <c r="B39" s="31"/>
      <c r="C39" s="32" t="s">
        <v>108</v>
      </c>
      <c r="D39" s="33" t="s">
        <v>139</v>
      </c>
      <c r="E39" s="42">
        <f>3*(250-14)*1.2</f>
        <v>849.6</v>
      </c>
      <c r="F39" s="83"/>
      <c r="G39" s="84"/>
      <c r="H39" s="84"/>
      <c r="I39" s="85"/>
    </row>
    <row r="40" spans="1:10" ht="30" customHeight="1">
      <c r="A40" s="28">
        <f t="shared" si="0"/>
        <v>35</v>
      </c>
      <c r="B40" s="31"/>
      <c r="C40" s="32" t="s">
        <v>106</v>
      </c>
      <c r="D40" s="33" t="s">
        <v>139</v>
      </c>
      <c r="E40" s="42">
        <f>3.5*411*1.2</f>
        <v>1726.2</v>
      </c>
      <c r="F40" s="83"/>
      <c r="G40" s="84"/>
      <c r="H40" s="84"/>
      <c r="I40" s="85"/>
    </row>
    <row r="41" spans="1:10" ht="30" customHeight="1">
      <c r="A41" s="28">
        <f t="shared" si="0"/>
        <v>36</v>
      </c>
      <c r="B41" s="31"/>
      <c r="C41" s="32" t="s">
        <v>148</v>
      </c>
      <c r="D41" s="33" t="s">
        <v>139</v>
      </c>
      <c r="E41" s="42">
        <f>3.5*60*1.2</f>
        <v>252</v>
      </c>
      <c r="F41" s="83"/>
      <c r="G41" s="84"/>
      <c r="H41" s="84"/>
      <c r="I41" s="85"/>
    </row>
    <row r="42" spans="1:10" ht="30" customHeight="1">
      <c r="A42" s="28">
        <f t="shared" si="0"/>
        <v>37</v>
      </c>
      <c r="B42" s="31"/>
      <c r="C42" s="32" t="s">
        <v>107</v>
      </c>
      <c r="D42" s="33" t="s">
        <v>139</v>
      </c>
      <c r="E42" s="42">
        <f>582*5*1.2</f>
        <v>3492</v>
      </c>
      <c r="F42" s="83"/>
      <c r="G42" s="84"/>
      <c r="H42" s="84"/>
      <c r="I42" s="85"/>
    </row>
    <row r="43" spans="1:10" ht="30" customHeight="1">
      <c r="A43" s="28">
        <f t="shared" si="0"/>
        <v>38</v>
      </c>
      <c r="B43" s="31"/>
      <c r="C43" s="32" t="s">
        <v>103</v>
      </c>
      <c r="D43" s="33" t="s">
        <v>139</v>
      </c>
      <c r="E43" s="42">
        <f>32*11*1.2</f>
        <v>422.4</v>
      </c>
      <c r="F43" s="83"/>
      <c r="G43" s="84"/>
      <c r="H43" s="84"/>
      <c r="I43" s="85"/>
    </row>
    <row r="44" spans="1:10" ht="30" customHeight="1">
      <c r="A44" s="28">
        <f t="shared" si="0"/>
        <v>39</v>
      </c>
      <c r="B44" s="31"/>
      <c r="C44" s="32" t="s">
        <v>104</v>
      </c>
      <c r="D44" s="33" t="s">
        <v>139</v>
      </c>
      <c r="E44" s="42">
        <f>5*17*1.2</f>
        <v>102</v>
      </c>
      <c r="F44" s="86"/>
      <c r="G44" s="87"/>
      <c r="H44" s="87"/>
      <c r="I44" s="88"/>
    </row>
    <row r="45" spans="1:10" ht="30" customHeight="1">
      <c r="A45" s="28">
        <f t="shared" si="0"/>
        <v>40</v>
      </c>
      <c r="B45" s="3"/>
      <c r="C45" s="99" t="s">
        <v>12</v>
      </c>
      <c r="D45" s="100"/>
      <c r="E45" s="100"/>
      <c r="F45" s="2" t="s">
        <v>137</v>
      </c>
      <c r="G45" s="38">
        <f>SUM(E46:E52)</f>
        <v>3259.12</v>
      </c>
      <c r="H45" s="3"/>
      <c r="I45" s="4">
        <f>G45*H45</f>
        <v>0</v>
      </c>
      <c r="J45" s="20"/>
    </row>
    <row r="46" spans="1:10" ht="30" customHeight="1">
      <c r="A46" s="28">
        <f t="shared" si="0"/>
        <v>41</v>
      </c>
      <c r="B46" s="31"/>
      <c r="C46" s="32" t="s">
        <v>100</v>
      </c>
      <c r="D46" s="33" t="s">
        <v>137</v>
      </c>
      <c r="E46" s="42">
        <f>(364.6-73.04)*2</f>
        <v>583.12</v>
      </c>
      <c r="F46" s="80"/>
      <c r="G46" s="81"/>
      <c r="H46" s="81"/>
      <c r="I46" s="82"/>
    </row>
    <row r="47" spans="1:10" ht="30" customHeight="1">
      <c r="A47" s="28">
        <f t="shared" si="0"/>
        <v>42</v>
      </c>
      <c r="B47" s="31"/>
      <c r="C47" s="32" t="s">
        <v>108</v>
      </c>
      <c r="D47" s="33" t="s">
        <v>137</v>
      </c>
      <c r="E47" s="42">
        <f>(250-14)*2</f>
        <v>472</v>
      </c>
      <c r="F47" s="83"/>
      <c r="G47" s="84"/>
      <c r="H47" s="84"/>
      <c r="I47" s="85"/>
    </row>
    <row r="48" spans="1:10" ht="30" customHeight="1">
      <c r="A48" s="28">
        <f t="shared" si="0"/>
        <v>43</v>
      </c>
      <c r="B48" s="31"/>
      <c r="C48" s="32" t="s">
        <v>106</v>
      </c>
      <c r="D48" s="33" t="s">
        <v>137</v>
      </c>
      <c r="E48" s="42">
        <f>411*2</f>
        <v>822</v>
      </c>
      <c r="F48" s="83"/>
      <c r="G48" s="84"/>
      <c r="H48" s="84"/>
      <c r="I48" s="85"/>
    </row>
    <row r="49" spans="1:10" ht="30" customHeight="1">
      <c r="A49" s="28">
        <f t="shared" si="0"/>
        <v>44</v>
      </c>
      <c r="B49" s="31"/>
      <c r="C49" s="32" t="s">
        <v>148</v>
      </c>
      <c r="D49" s="33" t="s">
        <v>137</v>
      </c>
      <c r="E49" s="42">
        <f>60*2</f>
        <v>120</v>
      </c>
      <c r="F49" s="83"/>
      <c r="G49" s="84"/>
      <c r="H49" s="84"/>
      <c r="I49" s="85"/>
    </row>
    <row r="50" spans="1:10" ht="30" customHeight="1">
      <c r="A50" s="28">
        <f t="shared" si="0"/>
        <v>45</v>
      </c>
      <c r="B50" s="31"/>
      <c r="C50" s="32" t="s">
        <v>107</v>
      </c>
      <c r="D50" s="33" t="s">
        <v>137</v>
      </c>
      <c r="E50" s="42">
        <f>582*2</f>
        <v>1164</v>
      </c>
      <c r="F50" s="83"/>
      <c r="G50" s="84"/>
      <c r="H50" s="84"/>
      <c r="I50" s="85"/>
    </row>
    <row r="51" spans="1:10" ht="30" customHeight="1">
      <c r="A51" s="28">
        <f t="shared" si="0"/>
        <v>46</v>
      </c>
      <c r="B51" s="31"/>
      <c r="C51" s="32" t="s">
        <v>103</v>
      </c>
      <c r="D51" s="33" t="s">
        <v>137</v>
      </c>
      <c r="E51" s="42">
        <f>32*2</f>
        <v>64</v>
      </c>
      <c r="F51" s="83"/>
      <c r="G51" s="84"/>
      <c r="H51" s="84"/>
      <c r="I51" s="85"/>
    </row>
    <row r="52" spans="1:10" ht="30" customHeight="1">
      <c r="A52" s="28">
        <f t="shared" si="0"/>
        <v>47</v>
      </c>
      <c r="B52" s="31"/>
      <c r="C52" s="32" t="s">
        <v>104</v>
      </c>
      <c r="D52" s="33" t="s">
        <v>137</v>
      </c>
      <c r="E52" s="42">
        <f>17*2</f>
        <v>34</v>
      </c>
      <c r="F52" s="86"/>
      <c r="G52" s="87"/>
      <c r="H52" s="87"/>
      <c r="I52" s="88"/>
    </row>
    <row r="53" spans="1:10" ht="30" customHeight="1">
      <c r="A53" s="28">
        <f t="shared" si="0"/>
        <v>48</v>
      </c>
      <c r="B53" s="3"/>
      <c r="C53" s="99" t="s">
        <v>13</v>
      </c>
      <c r="D53" s="100"/>
      <c r="E53" s="100"/>
      <c r="F53" s="2" t="s">
        <v>137</v>
      </c>
      <c r="G53" s="38">
        <f>SUM(E54:E59)</f>
        <v>3139.12</v>
      </c>
      <c r="H53" s="3"/>
      <c r="I53" s="4">
        <f>G53*H53</f>
        <v>0</v>
      </c>
    </row>
    <row r="54" spans="1:10" ht="30" customHeight="1">
      <c r="A54" s="28">
        <f t="shared" si="0"/>
        <v>49</v>
      </c>
      <c r="B54" s="31"/>
      <c r="C54" s="32" t="s">
        <v>100</v>
      </c>
      <c r="D54" s="33" t="s">
        <v>137</v>
      </c>
      <c r="E54" s="42">
        <f>(364.6-73.04)*2</f>
        <v>583.12</v>
      </c>
      <c r="F54" s="80"/>
      <c r="G54" s="81"/>
      <c r="H54" s="81"/>
      <c r="I54" s="82"/>
    </row>
    <row r="55" spans="1:10" ht="30" customHeight="1">
      <c r="A55" s="28">
        <f t="shared" si="0"/>
        <v>50</v>
      </c>
      <c r="B55" s="31"/>
      <c r="C55" s="32" t="s">
        <v>108</v>
      </c>
      <c r="D55" s="33" t="s">
        <v>137</v>
      </c>
      <c r="E55" s="42">
        <f>(250-14)*2</f>
        <v>472</v>
      </c>
      <c r="F55" s="83"/>
      <c r="G55" s="84"/>
      <c r="H55" s="84"/>
      <c r="I55" s="85"/>
    </row>
    <row r="56" spans="1:10" ht="30" customHeight="1">
      <c r="A56" s="28">
        <f t="shared" si="0"/>
        <v>51</v>
      </c>
      <c r="B56" s="31"/>
      <c r="C56" s="32" t="s">
        <v>106</v>
      </c>
      <c r="D56" s="33" t="s">
        <v>137</v>
      </c>
      <c r="E56" s="42">
        <f>411*2</f>
        <v>822</v>
      </c>
      <c r="F56" s="83"/>
      <c r="G56" s="84"/>
      <c r="H56" s="84"/>
      <c r="I56" s="85"/>
    </row>
    <row r="57" spans="1:10" ht="30" customHeight="1">
      <c r="A57" s="28">
        <f t="shared" si="0"/>
        <v>52</v>
      </c>
      <c r="B57" s="31"/>
      <c r="C57" s="32" t="s">
        <v>107</v>
      </c>
      <c r="D57" s="33" t="s">
        <v>137</v>
      </c>
      <c r="E57" s="42">
        <f>582*2</f>
        <v>1164</v>
      </c>
      <c r="F57" s="83"/>
      <c r="G57" s="84"/>
      <c r="H57" s="84"/>
      <c r="I57" s="85"/>
    </row>
    <row r="58" spans="1:10" ht="30" customHeight="1">
      <c r="A58" s="28">
        <f t="shared" si="0"/>
        <v>53</v>
      </c>
      <c r="B58" s="31"/>
      <c r="C58" s="32" t="s">
        <v>103</v>
      </c>
      <c r="D58" s="33" t="s">
        <v>137</v>
      </c>
      <c r="E58" s="42">
        <f>32*2</f>
        <v>64</v>
      </c>
      <c r="F58" s="83"/>
      <c r="G58" s="84"/>
      <c r="H58" s="84"/>
      <c r="I58" s="85"/>
    </row>
    <row r="59" spans="1:10" ht="30" customHeight="1">
      <c r="A59" s="28">
        <f t="shared" si="0"/>
        <v>54</v>
      </c>
      <c r="B59" s="31"/>
      <c r="C59" s="32" t="s">
        <v>104</v>
      </c>
      <c r="D59" s="33" t="s">
        <v>137</v>
      </c>
      <c r="E59" s="42">
        <f>17*2</f>
        <v>34</v>
      </c>
      <c r="F59" s="86"/>
      <c r="G59" s="87"/>
      <c r="H59" s="87"/>
      <c r="I59" s="88"/>
    </row>
    <row r="60" spans="1:10" ht="30" customHeight="1">
      <c r="A60" s="28">
        <f t="shared" si="0"/>
        <v>55</v>
      </c>
      <c r="B60" s="3"/>
      <c r="C60" s="99" t="s">
        <v>14</v>
      </c>
      <c r="D60" s="100"/>
      <c r="E60" s="100"/>
      <c r="F60" s="2" t="s">
        <v>139</v>
      </c>
      <c r="G60" s="38">
        <f>SUM(E61:E66)</f>
        <v>3296.076</v>
      </c>
      <c r="H60" s="3"/>
      <c r="I60" s="4">
        <f>G60*H60</f>
        <v>0</v>
      </c>
      <c r="J60" s="20"/>
    </row>
    <row r="61" spans="1:10" ht="30" customHeight="1">
      <c r="A61" s="28">
        <f t="shared" si="0"/>
        <v>56</v>
      </c>
      <c r="B61" s="31"/>
      <c r="C61" s="32" t="s">
        <v>100</v>
      </c>
      <c r="D61" s="33" t="s">
        <v>139</v>
      </c>
      <c r="E61" s="42">
        <f>(364.6-73.04)*2.1</f>
        <v>612.27600000000007</v>
      </c>
      <c r="F61" s="80"/>
      <c r="G61" s="81"/>
      <c r="H61" s="81"/>
      <c r="I61" s="82"/>
    </row>
    <row r="62" spans="1:10" ht="30" customHeight="1">
      <c r="A62" s="28">
        <f t="shared" si="0"/>
        <v>57</v>
      </c>
      <c r="B62" s="31"/>
      <c r="C62" s="32" t="s">
        <v>108</v>
      </c>
      <c r="D62" s="33" t="s">
        <v>139</v>
      </c>
      <c r="E62" s="42">
        <f>(250-14)*2.1</f>
        <v>495.6</v>
      </c>
      <c r="F62" s="83"/>
      <c r="G62" s="84"/>
      <c r="H62" s="84"/>
      <c r="I62" s="85"/>
    </row>
    <row r="63" spans="1:10" ht="30" customHeight="1">
      <c r="A63" s="28">
        <f t="shared" si="0"/>
        <v>58</v>
      </c>
      <c r="B63" s="31"/>
      <c r="C63" s="32" t="s">
        <v>106</v>
      </c>
      <c r="D63" s="33" t="s">
        <v>139</v>
      </c>
      <c r="E63" s="42">
        <f>411*2.1</f>
        <v>863.1</v>
      </c>
      <c r="F63" s="83"/>
      <c r="G63" s="84"/>
      <c r="H63" s="84"/>
      <c r="I63" s="85"/>
    </row>
    <row r="64" spans="1:10" ht="30" customHeight="1">
      <c r="A64" s="28">
        <f t="shared" si="0"/>
        <v>59</v>
      </c>
      <c r="B64" s="31"/>
      <c r="C64" s="32" t="s">
        <v>107</v>
      </c>
      <c r="D64" s="33" t="s">
        <v>139</v>
      </c>
      <c r="E64" s="42">
        <f>582*2.1</f>
        <v>1222.2</v>
      </c>
      <c r="F64" s="83"/>
      <c r="G64" s="84"/>
      <c r="H64" s="84"/>
      <c r="I64" s="85"/>
    </row>
    <row r="65" spans="1:9" ht="30" customHeight="1">
      <c r="A65" s="28">
        <f t="shared" si="0"/>
        <v>60</v>
      </c>
      <c r="B65" s="31"/>
      <c r="C65" s="32" t="s">
        <v>103</v>
      </c>
      <c r="D65" s="33" t="s">
        <v>139</v>
      </c>
      <c r="E65" s="42">
        <f>32*2.1</f>
        <v>67.2</v>
      </c>
      <c r="F65" s="83"/>
      <c r="G65" s="84"/>
      <c r="H65" s="84"/>
      <c r="I65" s="85"/>
    </row>
    <row r="66" spans="1:9" ht="30" customHeight="1">
      <c r="A66" s="28">
        <f t="shared" si="0"/>
        <v>61</v>
      </c>
      <c r="B66" s="31"/>
      <c r="C66" s="32" t="s">
        <v>104</v>
      </c>
      <c r="D66" s="33" t="s">
        <v>139</v>
      </c>
      <c r="E66" s="42">
        <f>17*2.1</f>
        <v>35.700000000000003</v>
      </c>
      <c r="F66" s="86"/>
      <c r="G66" s="87"/>
      <c r="H66" s="87"/>
      <c r="I66" s="88"/>
    </row>
    <row r="67" spans="1:9" ht="30" customHeight="1">
      <c r="A67" s="28">
        <f t="shared" si="0"/>
        <v>62</v>
      </c>
      <c r="B67" s="3"/>
      <c r="C67" s="99" t="s">
        <v>15</v>
      </c>
      <c r="D67" s="100"/>
      <c r="E67" s="100"/>
      <c r="F67" s="2" t="s">
        <v>138</v>
      </c>
      <c r="G67" s="38">
        <v>20</v>
      </c>
      <c r="H67" s="3"/>
      <c r="I67" s="4">
        <f>G67*H67</f>
        <v>0</v>
      </c>
    </row>
    <row r="68" spans="1:9" ht="30" customHeight="1">
      <c r="A68" s="28">
        <f t="shared" si="0"/>
        <v>63</v>
      </c>
      <c r="B68" s="3"/>
      <c r="C68" s="99" t="s">
        <v>16</v>
      </c>
      <c r="D68" s="100"/>
      <c r="E68" s="100"/>
      <c r="F68" s="2" t="s">
        <v>138</v>
      </c>
      <c r="G68" s="38">
        <v>20</v>
      </c>
      <c r="H68" s="3"/>
      <c r="I68" s="4">
        <f>G68*H68</f>
        <v>0</v>
      </c>
    </row>
    <row r="69" spans="1:9" ht="30" customHeight="1">
      <c r="A69" s="28">
        <f t="shared" si="0"/>
        <v>64</v>
      </c>
      <c r="B69" s="11" t="s">
        <v>17</v>
      </c>
      <c r="C69" s="110" t="s">
        <v>18</v>
      </c>
      <c r="D69" s="111"/>
      <c r="E69" s="111"/>
      <c r="F69" s="5" t="s">
        <v>135</v>
      </c>
      <c r="G69" s="60" t="s">
        <v>135</v>
      </c>
      <c r="H69" s="6" t="s">
        <v>135</v>
      </c>
      <c r="I69" s="63">
        <f>I70+I81</f>
        <v>0</v>
      </c>
    </row>
    <row r="70" spans="1:9" ht="30" customHeight="1">
      <c r="A70" s="28">
        <f t="shared" si="0"/>
        <v>65</v>
      </c>
      <c r="B70" s="17" t="s">
        <v>19</v>
      </c>
      <c r="C70" s="95" t="s">
        <v>20</v>
      </c>
      <c r="D70" s="96"/>
      <c r="E70" s="96"/>
      <c r="F70" s="2" t="s">
        <v>135</v>
      </c>
      <c r="G70" s="38" t="s">
        <v>135</v>
      </c>
      <c r="H70" s="3" t="s">
        <v>135</v>
      </c>
      <c r="I70" s="4">
        <f>I71</f>
        <v>0</v>
      </c>
    </row>
    <row r="71" spans="1:9" ht="30" customHeight="1">
      <c r="A71" s="28">
        <f t="shared" si="0"/>
        <v>66</v>
      </c>
      <c r="B71" s="24"/>
      <c r="C71" s="114" t="s">
        <v>119</v>
      </c>
      <c r="D71" s="115"/>
      <c r="E71" s="115"/>
      <c r="F71" s="28" t="s">
        <v>136</v>
      </c>
      <c r="G71" s="59">
        <f>SUM(E72:E80)</f>
        <v>80849.88</v>
      </c>
      <c r="H71" s="24"/>
      <c r="I71" s="4">
        <f>G71*H71</f>
        <v>0</v>
      </c>
    </row>
    <row r="72" spans="1:9" ht="30" customHeight="1">
      <c r="A72" s="28">
        <f t="shared" ref="A72:A135" si="1">A71+1</f>
        <v>67</v>
      </c>
      <c r="B72" s="31"/>
      <c r="C72" s="32" t="s">
        <v>144</v>
      </c>
      <c r="D72" s="33" t="s">
        <v>136</v>
      </c>
      <c r="E72" s="42">
        <v>34668.82</v>
      </c>
      <c r="F72" s="80"/>
      <c r="G72" s="81"/>
      <c r="H72" s="81"/>
      <c r="I72" s="82"/>
    </row>
    <row r="73" spans="1:9" ht="30" customHeight="1">
      <c r="A73" s="28">
        <f t="shared" si="1"/>
        <v>68</v>
      </c>
      <c r="B73" s="31"/>
      <c r="C73" s="32" t="s">
        <v>143</v>
      </c>
      <c r="D73" s="33" t="s">
        <v>136</v>
      </c>
      <c r="E73" s="42">
        <v>38619.32</v>
      </c>
      <c r="F73" s="83"/>
      <c r="G73" s="84"/>
      <c r="H73" s="84"/>
      <c r="I73" s="85"/>
    </row>
    <row r="74" spans="1:9" ht="30" customHeight="1">
      <c r="A74" s="28">
        <f t="shared" si="1"/>
        <v>69</v>
      </c>
      <c r="B74" s="31"/>
      <c r="C74" s="32" t="s">
        <v>145</v>
      </c>
      <c r="D74" s="33" t="s">
        <v>136</v>
      </c>
      <c r="E74" s="42">
        <v>825.05</v>
      </c>
      <c r="F74" s="83"/>
      <c r="G74" s="84"/>
      <c r="H74" s="84"/>
      <c r="I74" s="85"/>
    </row>
    <row r="75" spans="1:9" ht="30" customHeight="1">
      <c r="A75" s="28">
        <f t="shared" si="1"/>
        <v>70</v>
      </c>
      <c r="B75" s="31"/>
      <c r="C75" s="32" t="s">
        <v>146</v>
      </c>
      <c r="D75" s="33" t="s">
        <v>136</v>
      </c>
      <c r="E75" s="42">
        <v>603.75</v>
      </c>
      <c r="F75" s="83"/>
      <c r="G75" s="84"/>
      <c r="H75" s="84"/>
      <c r="I75" s="85"/>
    </row>
    <row r="76" spans="1:9" ht="30" customHeight="1">
      <c r="A76" s="28">
        <f t="shared" si="1"/>
        <v>71</v>
      </c>
      <c r="B76" s="31"/>
      <c r="C76" s="32" t="s">
        <v>147</v>
      </c>
      <c r="D76" s="33" t="s">
        <v>136</v>
      </c>
      <c r="E76" s="42">
        <v>314.88</v>
      </c>
      <c r="F76" s="83"/>
      <c r="G76" s="84"/>
      <c r="H76" s="84"/>
      <c r="I76" s="85"/>
    </row>
    <row r="77" spans="1:9" ht="30" customHeight="1">
      <c r="A77" s="28">
        <f t="shared" si="1"/>
        <v>72</v>
      </c>
      <c r="B77" s="31"/>
      <c r="C77" s="32" t="s">
        <v>100</v>
      </c>
      <c r="D77" s="33" t="s">
        <v>136</v>
      </c>
      <c r="E77" s="42">
        <v>528.83000000000004</v>
      </c>
      <c r="F77" s="83"/>
      <c r="G77" s="84"/>
      <c r="H77" s="84"/>
      <c r="I77" s="85"/>
    </row>
    <row r="78" spans="1:9" ht="30" customHeight="1">
      <c r="A78" s="28">
        <f t="shared" si="1"/>
        <v>73</v>
      </c>
      <c r="B78" s="31"/>
      <c r="C78" s="32" t="s">
        <v>108</v>
      </c>
      <c r="D78" s="33" t="s">
        <v>136</v>
      </c>
      <c r="E78" s="42">
        <v>2378.65</v>
      </c>
      <c r="F78" s="83"/>
      <c r="G78" s="84"/>
      <c r="H78" s="84"/>
      <c r="I78" s="85"/>
    </row>
    <row r="79" spans="1:9" ht="30" customHeight="1">
      <c r="A79" s="28">
        <f t="shared" si="1"/>
        <v>74</v>
      </c>
      <c r="B79" s="31"/>
      <c r="C79" s="32" t="s">
        <v>107</v>
      </c>
      <c r="D79" s="33" t="s">
        <v>136</v>
      </c>
      <c r="E79" s="42">
        <v>2317.17</v>
      </c>
      <c r="F79" s="83"/>
      <c r="G79" s="84"/>
      <c r="H79" s="84"/>
      <c r="I79" s="85"/>
    </row>
    <row r="80" spans="1:9" ht="30" customHeight="1">
      <c r="A80" s="28">
        <f t="shared" si="1"/>
        <v>75</v>
      </c>
      <c r="B80" s="31"/>
      <c r="C80" s="32" t="s">
        <v>106</v>
      </c>
      <c r="D80" s="33" t="s">
        <v>136</v>
      </c>
      <c r="E80" s="42">
        <v>593.41</v>
      </c>
      <c r="F80" s="86"/>
      <c r="G80" s="87"/>
      <c r="H80" s="87"/>
      <c r="I80" s="88"/>
    </row>
    <row r="81" spans="1:10" ht="30" customHeight="1">
      <c r="A81" s="28">
        <f t="shared" si="1"/>
        <v>76</v>
      </c>
      <c r="B81" s="17" t="s">
        <v>21</v>
      </c>
      <c r="C81" s="95" t="s">
        <v>22</v>
      </c>
      <c r="D81" s="96"/>
      <c r="E81" s="96"/>
      <c r="F81" s="2" t="s">
        <v>135</v>
      </c>
      <c r="G81" s="38" t="s">
        <v>135</v>
      </c>
      <c r="H81" s="3" t="s">
        <v>135</v>
      </c>
      <c r="I81" s="4">
        <f>I82</f>
        <v>0</v>
      </c>
    </row>
    <row r="82" spans="1:10" ht="30" customHeight="1">
      <c r="A82" s="28">
        <f t="shared" si="1"/>
        <v>77</v>
      </c>
      <c r="B82" s="24"/>
      <c r="C82" s="114" t="s">
        <v>118</v>
      </c>
      <c r="D82" s="115"/>
      <c r="E82" s="115"/>
      <c r="F82" s="28" t="s">
        <v>136</v>
      </c>
      <c r="G82" s="59">
        <f>SUM(E83:E91)</f>
        <v>35146.339999999997</v>
      </c>
      <c r="H82" s="24"/>
      <c r="I82" s="4">
        <f>G82*H82</f>
        <v>0</v>
      </c>
    </row>
    <row r="83" spans="1:10" ht="30" customHeight="1">
      <c r="A83" s="28">
        <f t="shared" si="1"/>
        <v>78</v>
      </c>
      <c r="B83" s="31"/>
      <c r="C83" s="32" t="s">
        <v>144</v>
      </c>
      <c r="D83" s="33" t="s">
        <v>136</v>
      </c>
      <c r="E83" s="42">
        <v>3534.26</v>
      </c>
      <c r="F83" s="80"/>
      <c r="G83" s="81"/>
      <c r="H83" s="81"/>
      <c r="I83" s="82"/>
    </row>
    <row r="84" spans="1:10" ht="30" customHeight="1">
      <c r="A84" s="28">
        <f t="shared" si="1"/>
        <v>79</v>
      </c>
      <c r="B84" s="31"/>
      <c r="C84" s="32" t="s">
        <v>143</v>
      </c>
      <c r="D84" s="33" t="s">
        <v>136</v>
      </c>
      <c r="E84" s="42">
        <v>3651.7</v>
      </c>
      <c r="F84" s="83"/>
      <c r="G84" s="84"/>
      <c r="H84" s="84"/>
      <c r="I84" s="85"/>
    </row>
    <row r="85" spans="1:10" ht="30" customHeight="1">
      <c r="A85" s="28">
        <f t="shared" si="1"/>
        <v>80</v>
      </c>
      <c r="B85" s="31"/>
      <c r="C85" s="32" t="s">
        <v>145</v>
      </c>
      <c r="D85" s="33" t="s">
        <v>136</v>
      </c>
      <c r="E85" s="42">
        <v>1052.01</v>
      </c>
      <c r="F85" s="83"/>
      <c r="G85" s="84"/>
      <c r="H85" s="84"/>
      <c r="I85" s="85"/>
    </row>
    <row r="86" spans="1:10" ht="30" customHeight="1">
      <c r="A86" s="28">
        <f t="shared" si="1"/>
        <v>81</v>
      </c>
      <c r="B86" s="31"/>
      <c r="C86" s="32" t="s">
        <v>146</v>
      </c>
      <c r="D86" s="33" t="s">
        <v>136</v>
      </c>
      <c r="E86" s="42">
        <v>71.989999999999995</v>
      </c>
      <c r="F86" s="83"/>
      <c r="G86" s="84"/>
      <c r="H86" s="84"/>
      <c r="I86" s="85"/>
    </row>
    <row r="87" spans="1:10" ht="30" customHeight="1">
      <c r="A87" s="28">
        <f t="shared" si="1"/>
        <v>82</v>
      </c>
      <c r="B87" s="31"/>
      <c r="C87" s="32" t="s">
        <v>147</v>
      </c>
      <c r="D87" s="33" t="s">
        <v>136</v>
      </c>
      <c r="E87" s="42">
        <v>13.83</v>
      </c>
      <c r="F87" s="83"/>
      <c r="G87" s="84"/>
      <c r="H87" s="84"/>
      <c r="I87" s="85"/>
    </row>
    <row r="88" spans="1:10" ht="30" customHeight="1">
      <c r="A88" s="28">
        <f t="shared" si="1"/>
        <v>83</v>
      </c>
      <c r="B88" s="31"/>
      <c r="C88" s="32" t="s">
        <v>100</v>
      </c>
      <c r="D88" s="33" t="s">
        <v>136</v>
      </c>
      <c r="E88" s="42">
        <v>2035.27</v>
      </c>
      <c r="F88" s="83"/>
      <c r="G88" s="84"/>
      <c r="H88" s="84"/>
      <c r="I88" s="85"/>
    </row>
    <row r="89" spans="1:10" ht="30" customHeight="1">
      <c r="A89" s="28">
        <f t="shared" si="1"/>
        <v>84</v>
      </c>
      <c r="B89" s="31"/>
      <c r="C89" s="32" t="s">
        <v>108</v>
      </c>
      <c r="D89" s="33" t="s">
        <v>136</v>
      </c>
      <c r="E89" s="42">
        <v>24355.96</v>
      </c>
      <c r="F89" s="83"/>
      <c r="G89" s="84"/>
      <c r="H89" s="84"/>
      <c r="I89" s="85"/>
    </row>
    <row r="90" spans="1:10" ht="30" customHeight="1">
      <c r="A90" s="28">
        <f t="shared" si="1"/>
        <v>85</v>
      </c>
      <c r="B90" s="31"/>
      <c r="C90" s="32" t="s">
        <v>107</v>
      </c>
      <c r="D90" s="33" t="s">
        <v>136</v>
      </c>
      <c r="E90" s="42">
        <v>76.790000000000006</v>
      </c>
      <c r="F90" s="83"/>
      <c r="G90" s="84"/>
      <c r="H90" s="84"/>
      <c r="I90" s="85"/>
    </row>
    <row r="91" spans="1:10" ht="30" customHeight="1">
      <c r="A91" s="28">
        <f t="shared" si="1"/>
        <v>86</v>
      </c>
      <c r="B91" s="31"/>
      <c r="C91" s="32" t="s">
        <v>106</v>
      </c>
      <c r="D91" s="33" t="s">
        <v>136</v>
      </c>
      <c r="E91" s="42">
        <v>354.53</v>
      </c>
      <c r="F91" s="86"/>
      <c r="G91" s="87"/>
      <c r="H91" s="87"/>
      <c r="I91" s="88"/>
    </row>
    <row r="92" spans="1:10" ht="30" customHeight="1">
      <c r="A92" s="28">
        <f t="shared" si="1"/>
        <v>87</v>
      </c>
      <c r="B92" s="11" t="s">
        <v>23</v>
      </c>
      <c r="C92" s="110" t="s">
        <v>24</v>
      </c>
      <c r="D92" s="111"/>
      <c r="E92" s="111"/>
      <c r="F92" s="5" t="s">
        <v>135</v>
      </c>
      <c r="G92" s="60" t="s">
        <v>135</v>
      </c>
      <c r="H92" s="6" t="s">
        <v>135</v>
      </c>
      <c r="I92" s="63">
        <f>I93+SUM(I95:I96)+SUM(I99:I106)+I108+I120+I133+SUM(I144:I151)+SUM(I154:I161)</f>
        <v>0</v>
      </c>
    </row>
    <row r="93" spans="1:10" ht="30" customHeight="1">
      <c r="A93" s="28">
        <f t="shared" si="1"/>
        <v>88</v>
      </c>
      <c r="B93" s="17" t="s">
        <v>25</v>
      </c>
      <c r="C93" s="95" t="s">
        <v>26</v>
      </c>
      <c r="D93" s="96"/>
      <c r="E93" s="96"/>
      <c r="F93" s="2" t="s">
        <v>139</v>
      </c>
      <c r="G93" s="38">
        <v>61236.84</v>
      </c>
      <c r="H93" s="3"/>
      <c r="I93" s="4">
        <f>G93*H93</f>
        <v>0</v>
      </c>
    </row>
    <row r="94" spans="1:10" ht="30" customHeight="1">
      <c r="A94" s="28">
        <f t="shared" si="1"/>
        <v>89</v>
      </c>
      <c r="B94" s="3" t="s">
        <v>27</v>
      </c>
      <c r="C94" s="95" t="s">
        <v>28</v>
      </c>
      <c r="D94" s="96"/>
      <c r="E94" s="96"/>
      <c r="F94" s="2" t="s">
        <v>135</v>
      </c>
      <c r="G94" s="38" t="s">
        <v>135</v>
      </c>
      <c r="H94" s="3" t="s">
        <v>135</v>
      </c>
      <c r="I94" s="4" t="s">
        <v>135</v>
      </c>
    </row>
    <row r="95" spans="1:10" ht="30" customHeight="1">
      <c r="A95" s="28">
        <f t="shared" si="1"/>
        <v>90</v>
      </c>
      <c r="B95" s="3"/>
      <c r="C95" s="99" t="s">
        <v>29</v>
      </c>
      <c r="D95" s="100"/>
      <c r="E95" s="100"/>
      <c r="F95" s="2" t="s">
        <v>139</v>
      </c>
      <c r="G95" s="38">
        <v>35515.86</v>
      </c>
      <c r="H95" s="3"/>
      <c r="I95" s="4">
        <f>G95*H95</f>
        <v>0</v>
      </c>
      <c r="J95" s="20"/>
    </row>
    <row r="96" spans="1:10" ht="30" customHeight="1">
      <c r="A96" s="28">
        <f t="shared" si="1"/>
        <v>91</v>
      </c>
      <c r="B96" s="3"/>
      <c r="C96" s="99" t="s">
        <v>117</v>
      </c>
      <c r="D96" s="100"/>
      <c r="E96" s="100"/>
      <c r="F96" s="2" t="s">
        <v>139</v>
      </c>
      <c r="G96" s="38">
        <v>34125</v>
      </c>
      <c r="H96" s="3"/>
      <c r="I96" s="4">
        <f>G96*H96</f>
        <v>0</v>
      </c>
      <c r="J96" s="20"/>
    </row>
    <row r="97" spans="1:10" ht="30" customHeight="1">
      <c r="A97" s="28">
        <f t="shared" si="1"/>
        <v>92</v>
      </c>
      <c r="B97" s="17" t="s">
        <v>30</v>
      </c>
      <c r="C97" s="95" t="s">
        <v>31</v>
      </c>
      <c r="D97" s="96"/>
      <c r="E97" s="96"/>
      <c r="F97" s="2" t="s">
        <v>135</v>
      </c>
      <c r="G97" s="38" t="s">
        <v>135</v>
      </c>
      <c r="H97" s="3" t="s">
        <v>135</v>
      </c>
      <c r="I97" s="4" t="s">
        <v>135</v>
      </c>
    </row>
    <row r="98" spans="1:10" ht="30" customHeight="1">
      <c r="A98" s="28">
        <f t="shared" si="1"/>
        <v>93</v>
      </c>
      <c r="B98" s="25"/>
      <c r="C98" s="101" t="s">
        <v>116</v>
      </c>
      <c r="D98" s="102"/>
      <c r="E98" s="102"/>
      <c r="F98" s="29" t="s">
        <v>135</v>
      </c>
      <c r="G98" s="61" t="s">
        <v>135</v>
      </c>
      <c r="H98" s="25" t="s">
        <v>135</v>
      </c>
      <c r="I98" s="4" t="s">
        <v>135</v>
      </c>
    </row>
    <row r="99" spans="1:10" ht="30" customHeight="1">
      <c r="A99" s="28">
        <f t="shared" si="1"/>
        <v>94</v>
      </c>
      <c r="B99" s="3"/>
      <c r="C99" s="97" t="s">
        <v>100</v>
      </c>
      <c r="D99" s="98"/>
      <c r="E99" s="98"/>
      <c r="F99" s="2" t="s">
        <v>139</v>
      </c>
      <c r="G99" s="38">
        <v>2615</v>
      </c>
      <c r="H99" s="3"/>
      <c r="I99" s="4">
        <f t="shared" ref="I99:I106" si="2">G99*H99</f>
        <v>0</v>
      </c>
      <c r="J99" s="27"/>
    </row>
    <row r="100" spans="1:10" ht="30" customHeight="1">
      <c r="A100" s="28">
        <f t="shared" si="1"/>
        <v>95</v>
      </c>
      <c r="B100" s="3"/>
      <c r="C100" s="97" t="s">
        <v>108</v>
      </c>
      <c r="D100" s="98"/>
      <c r="E100" s="98"/>
      <c r="F100" s="2" t="s">
        <v>139</v>
      </c>
      <c r="G100" s="38">
        <v>1766</v>
      </c>
      <c r="H100" s="3"/>
      <c r="I100" s="4">
        <f t="shared" si="2"/>
        <v>0</v>
      </c>
      <c r="J100" s="27"/>
    </row>
    <row r="101" spans="1:10" ht="30" customHeight="1">
      <c r="A101" s="28">
        <f t="shared" si="1"/>
        <v>96</v>
      </c>
      <c r="B101" s="3"/>
      <c r="C101" s="97" t="s">
        <v>107</v>
      </c>
      <c r="D101" s="98"/>
      <c r="E101" s="98"/>
      <c r="F101" s="2" t="s">
        <v>139</v>
      </c>
      <c r="G101" s="38">
        <v>2993</v>
      </c>
      <c r="H101" s="3"/>
      <c r="I101" s="4">
        <f t="shared" si="2"/>
        <v>0</v>
      </c>
      <c r="J101" s="27"/>
    </row>
    <row r="102" spans="1:10" ht="30" customHeight="1">
      <c r="A102" s="28">
        <f t="shared" si="1"/>
        <v>97</v>
      </c>
      <c r="B102" s="3"/>
      <c r="C102" s="97" t="s">
        <v>106</v>
      </c>
      <c r="D102" s="98"/>
      <c r="E102" s="98"/>
      <c r="F102" s="2" t="s">
        <v>139</v>
      </c>
      <c r="G102" s="38">
        <v>962</v>
      </c>
      <c r="H102" s="3"/>
      <c r="I102" s="4">
        <f t="shared" si="2"/>
        <v>0</v>
      </c>
      <c r="J102" s="27"/>
    </row>
    <row r="103" spans="1:10" ht="30" customHeight="1">
      <c r="A103" s="28">
        <f t="shared" si="1"/>
        <v>98</v>
      </c>
      <c r="B103" s="3"/>
      <c r="C103" s="97" t="s">
        <v>105</v>
      </c>
      <c r="D103" s="98"/>
      <c r="E103" s="98"/>
      <c r="F103" s="2" t="s">
        <v>139</v>
      </c>
      <c r="G103" s="38">
        <v>753</v>
      </c>
      <c r="H103" s="3"/>
      <c r="I103" s="4">
        <f t="shared" si="2"/>
        <v>0</v>
      </c>
      <c r="J103" s="27"/>
    </row>
    <row r="104" spans="1:10" ht="30" customHeight="1">
      <c r="A104" s="28">
        <f t="shared" si="1"/>
        <v>99</v>
      </c>
      <c r="B104" s="3"/>
      <c r="C104" s="97" t="s">
        <v>104</v>
      </c>
      <c r="D104" s="98"/>
      <c r="E104" s="98"/>
      <c r="F104" s="2" t="s">
        <v>139</v>
      </c>
      <c r="G104" s="38">
        <v>161</v>
      </c>
      <c r="H104" s="3"/>
      <c r="I104" s="4">
        <f t="shared" si="2"/>
        <v>0</v>
      </c>
      <c r="J104" s="27"/>
    </row>
    <row r="105" spans="1:10" ht="30" customHeight="1">
      <c r="A105" s="28">
        <f t="shared" si="1"/>
        <v>100</v>
      </c>
      <c r="B105" s="3"/>
      <c r="C105" s="97" t="s">
        <v>103</v>
      </c>
      <c r="D105" s="98"/>
      <c r="E105" s="98"/>
      <c r="F105" s="2" t="s">
        <v>139</v>
      </c>
      <c r="G105" s="38">
        <v>263</v>
      </c>
      <c r="H105" s="3"/>
      <c r="I105" s="4">
        <f t="shared" si="2"/>
        <v>0</v>
      </c>
      <c r="J105" s="27"/>
    </row>
    <row r="106" spans="1:10" ht="30" customHeight="1">
      <c r="A106" s="28">
        <f t="shared" si="1"/>
        <v>101</v>
      </c>
      <c r="B106" s="3"/>
      <c r="C106" s="97" t="s">
        <v>102</v>
      </c>
      <c r="D106" s="98"/>
      <c r="E106" s="98"/>
      <c r="F106" s="2" t="s">
        <v>139</v>
      </c>
      <c r="G106" s="38">
        <f>20510*1.2</f>
        <v>24612</v>
      </c>
      <c r="H106" s="3"/>
      <c r="I106" s="4">
        <f t="shared" si="2"/>
        <v>0</v>
      </c>
      <c r="J106" s="27"/>
    </row>
    <row r="107" spans="1:10" ht="30" customHeight="1">
      <c r="A107" s="28">
        <f t="shared" si="1"/>
        <v>102</v>
      </c>
      <c r="B107" s="25"/>
      <c r="C107" s="101" t="s">
        <v>123</v>
      </c>
      <c r="D107" s="102"/>
      <c r="E107" s="102"/>
      <c r="F107" s="29" t="s">
        <v>135</v>
      </c>
      <c r="G107" s="61" t="s">
        <v>135</v>
      </c>
      <c r="H107" s="25" t="s">
        <v>135</v>
      </c>
      <c r="I107" s="4" t="s">
        <v>135</v>
      </c>
    </row>
    <row r="108" spans="1:10" ht="30" customHeight="1">
      <c r="A108" s="28">
        <f t="shared" si="1"/>
        <v>103</v>
      </c>
      <c r="B108" s="3"/>
      <c r="C108" s="99" t="s">
        <v>113</v>
      </c>
      <c r="D108" s="100"/>
      <c r="E108" s="100"/>
      <c r="F108" s="2" t="s">
        <v>139</v>
      </c>
      <c r="G108" s="38">
        <f>SUM(E109:E117)</f>
        <v>4213</v>
      </c>
      <c r="H108" s="3"/>
      <c r="I108" s="4">
        <f>G108*H108</f>
        <v>0</v>
      </c>
    </row>
    <row r="109" spans="1:10" ht="30" customHeight="1">
      <c r="A109" s="28">
        <f t="shared" si="1"/>
        <v>104</v>
      </c>
      <c r="B109" s="31"/>
      <c r="C109" s="32" t="s">
        <v>144</v>
      </c>
      <c r="D109" s="33" t="s">
        <v>139</v>
      </c>
      <c r="E109" s="42">
        <v>1675</v>
      </c>
      <c r="F109" s="80"/>
      <c r="G109" s="81"/>
      <c r="H109" s="81"/>
      <c r="I109" s="82"/>
    </row>
    <row r="110" spans="1:10" ht="30" customHeight="1">
      <c r="A110" s="28">
        <f t="shared" si="1"/>
        <v>105</v>
      </c>
      <c r="B110" s="31"/>
      <c r="C110" s="32" t="s">
        <v>143</v>
      </c>
      <c r="D110" s="33" t="s">
        <v>139</v>
      </c>
      <c r="E110" s="42">
        <v>1294</v>
      </c>
      <c r="F110" s="83"/>
      <c r="G110" s="84"/>
      <c r="H110" s="84"/>
      <c r="I110" s="85"/>
    </row>
    <row r="111" spans="1:10" ht="30" customHeight="1">
      <c r="A111" s="28">
        <f t="shared" si="1"/>
        <v>106</v>
      </c>
      <c r="B111" s="31"/>
      <c r="C111" s="32" t="s">
        <v>145</v>
      </c>
      <c r="D111" s="33" t="s">
        <v>139</v>
      </c>
      <c r="E111" s="42">
        <v>128</v>
      </c>
      <c r="F111" s="83"/>
      <c r="G111" s="84"/>
      <c r="H111" s="84"/>
      <c r="I111" s="85"/>
    </row>
    <row r="112" spans="1:10" ht="30" customHeight="1">
      <c r="A112" s="28">
        <f t="shared" si="1"/>
        <v>107</v>
      </c>
      <c r="B112" s="31"/>
      <c r="C112" s="32" t="s">
        <v>146</v>
      </c>
      <c r="D112" s="33" t="s">
        <v>137</v>
      </c>
      <c r="E112" s="42">
        <f>20*3</f>
        <v>60</v>
      </c>
      <c r="F112" s="83"/>
      <c r="G112" s="84"/>
      <c r="H112" s="84"/>
      <c r="I112" s="85"/>
    </row>
    <row r="113" spans="1:9" ht="30" customHeight="1">
      <c r="A113" s="28">
        <f t="shared" si="1"/>
        <v>108</v>
      </c>
      <c r="B113" s="31"/>
      <c r="C113" s="32" t="s">
        <v>100</v>
      </c>
      <c r="D113" s="33" t="s">
        <v>139</v>
      </c>
      <c r="E113" s="42">
        <v>717</v>
      </c>
      <c r="F113" s="83"/>
      <c r="G113" s="84"/>
      <c r="H113" s="84"/>
      <c r="I113" s="85"/>
    </row>
    <row r="114" spans="1:9" ht="30" customHeight="1">
      <c r="A114" s="28">
        <f t="shared" si="1"/>
        <v>109</v>
      </c>
      <c r="B114" s="31"/>
      <c r="C114" s="32" t="s">
        <v>108</v>
      </c>
      <c r="D114" s="33" t="s">
        <v>139</v>
      </c>
      <c r="E114" s="42">
        <v>32</v>
      </c>
      <c r="F114" s="83"/>
      <c r="G114" s="84"/>
      <c r="H114" s="84"/>
      <c r="I114" s="85"/>
    </row>
    <row r="115" spans="1:9" ht="30" customHeight="1">
      <c r="A115" s="28">
        <f t="shared" si="1"/>
        <v>110</v>
      </c>
      <c r="B115" s="31"/>
      <c r="C115" s="32" t="s">
        <v>107</v>
      </c>
      <c r="D115" s="33" t="s">
        <v>139</v>
      </c>
      <c r="E115" s="42">
        <v>190</v>
      </c>
      <c r="F115" s="83"/>
      <c r="G115" s="84"/>
      <c r="H115" s="84"/>
      <c r="I115" s="85"/>
    </row>
    <row r="116" spans="1:9" ht="30" customHeight="1">
      <c r="A116" s="28">
        <f t="shared" si="1"/>
        <v>111</v>
      </c>
      <c r="B116" s="31"/>
      <c r="C116" s="32" t="s">
        <v>103</v>
      </c>
      <c r="D116" s="33" t="s">
        <v>139</v>
      </c>
      <c r="E116" s="42">
        <v>71</v>
      </c>
      <c r="F116" s="83"/>
      <c r="G116" s="84"/>
      <c r="H116" s="84"/>
      <c r="I116" s="85"/>
    </row>
    <row r="117" spans="1:9" ht="30" customHeight="1">
      <c r="A117" s="28">
        <f t="shared" si="1"/>
        <v>112</v>
      </c>
      <c r="B117" s="31"/>
      <c r="C117" s="32" t="s">
        <v>106</v>
      </c>
      <c r="D117" s="33" t="s">
        <v>139</v>
      </c>
      <c r="E117" s="42">
        <f>6+5+15+20</f>
        <v>46</v>
      </c>
      <c r="F117" s="86"/>
      <c r="G117" s="87"/>
      <c r="H117" s="87"/>
      <c r="I117" s="88"/>
    </row>
    <row r="118" spans="1:9" ht="30" customHeight="1">
      <c r="A118" s="28">
        <f t="shared" si="1"/>
        <v>113</v>
      </c>
      <c r="B118" s="3" t="s">
        <v>32</v>
      </c>
      <c r="C118" s="99" t="s">
        <v>115</v>
      </c>
      <c r="D118" s="100"/>
      <c r="E118" s="100"/>
      <c r="F118" s="2" t="s">
        <v>135</v>
      </c>
      <c r="G118" s="38" t="s">
        <v>135</v>
      </c>
      <c r="H118" s="3" t="s">
        <v>135</v>
      </c>
      <c r="I118" s="4" t="s">
        <v>135</v>
      </c>
    </row>
    <row r="119" spans="1:9" ht="30" customHeight="1">
      <c r="A119" s="28">
        <f t="shared" si="1"/>
        <v>114</v>
      </c>
      <c r="B119" s="25"/>
      <c r="C119" s="112" t="s">
        <v>124</v>
      </c>
      <c r="D119" s="113"/>
      <c r="E119" s="113"/>
      <c r="F119" s="29" t="s">
        <v>135</v>
      </c>
      <c r="G119" s="61" t="s">
        <v>135</v>
      </c>
      <c r="H119" s="25" t="s">
        <v>135</v>
      </c>
      <c r="I119" s="4" t="s">
        <v>135</v>
      </c>
    </row>
    <row r="120" spans="1:9" ht="30" customHeight="1">
      <c r="A120" s="28">
        <f t="shared" si="1"/>
        <v>115</v>
      </c>
      <c r="B120" s="3"/>
      <c r="C120" s="99" t="s">
        <v>90</v>
      </c>
      <c r="D120" s="100"/>
      <c r="E120" s="100"/>
      <c r="F120" s="2" t="s">
        <v>139</v>
      </c>
      <c r="G120" s="38">
        <f>SUM(E121:E132)</f>
        <v>8427.3000000000011</v>
      </c>
      <c r="H120" s="3"/>
      <c r="I120" s="4">
        <f>G120*H120</f>
        <v>0</v>
      </c>
    </row>
    <row r="121" spans="1:9" ht="30" customHeight="1">
      <c r="A121" s="28">
        <f t="shared" si="1"/>
        <v>116</v>
      </c>
      <c r="B121" s="31"/>
      <c r="C121" s="32" t="s">
        <v>144</v>
      </c>
      <c r="D121" s="33" t="s">
        <v>139</v>
      </c>
      <c r="E121" s="42">
        <f>(527.5-(4*31)+442.5+279)*2.1</f>
        <v>2362.5</v>
      </c>
      <c r="F121" s="80"/>
      <c r="G121" s="81"/>
      <c r="H121" s="81"/>
      <c r="I121" s="82"/>
    </row>
    <row r="122" spans="1:9" ht="30" customHeight="1">
      <c r="A122" s="28">
        <f t="shared" si="1"/>
        <v>117</v>
      </c>
      <c r="B122" s="31"/>
      <c r="C122" s="32" t="s">
        <v>143</v>
      </c>
      <c r="D122" s="33" t="s">
        <v>139</v>
      </c>
      <c r="E122" s="42">
        <f>(459-(4*25)+788.5-(4*7))*2.1</f>
        <v>2350.9500000000003</v>
      </c>
      <c r="F122" s="83"/>
      <c r="G122" s="84"/>
      <c r="H122" s="84"/>
      <c r="I122" s="85"/>
    </row>
    <row r="123" spans="1:9" ht="30" customHeight="1">
      <c r="A123" s="28">
        <f t="shared" si="1"/>
        <v>118</v>
      </c>
      <c r="B123" s="31"/>
      <c r="C123" s="32" t="s">
        <v>145</v>
      </c>
      <c r="D123" s="33" t="s">
        <v>139</v>
      </c>
      <c r="E123" s="42">
        <f>(14+130.5+72.5+11.5+15+30)*2.1</f>
        <v>574.35</v>
      </c>
      <c r="F123" s="83"/>
      <c r="G123" s="84"/>
      <c r="H123" s="84"/>
      <c r="I123" s="85"/>
    </row>
    <row r="124" spans="1:9" ht="30" customHeight="1">
      <c r="A124" s="28">
        <f t="shared" si="1"/>
        <v>119</v>
      </c>
      <c r="B124" s="31"/>
      <c r="C124" s="32" t="s">
        <v>146</v>
      </c>
      <c r="D124" s="33" t="s">
        <v>139</v>
      </c>
      <c r="E124" s="42">
        <f>(30+44.5+34+14+14)*2.1</f>
        <v>286.65000000000003</v>
      </c>
      <c r="F124" s="83"/>
      <c r="G124" s="84"/>
      <c r="H124" s="84"/>
      <c r="I124" s="85"/>
    </row>
    <row r="125" spans="1:9" ht="30" customHeight="1">
      <c r="A125" s="28">
        <f t="shared" si="1"/>
        <v>120</v>
      </c>
      <c r="B125" s="31"/>
      <c r="C125" s="32" t="s">
        <v>147</v>
      </c>
      <c r="D125" s="33" t="s">
        <v>139</v>
      </c>
      <c r="E125" s="42">
        <f>(57+12)*2.1</f>
        <v>144.9</v>
      </c>
      <c r="F125" s="83"/>
      <c r="G125" s="84"/>
      <c r="H125" s="84"/>
      <c r="I125" s="85"/>
    </row>
    <row r="126" spans="1:9" ht="30" customHeight="1">
      <c r="A126" s="28">
        <f t="shared" si="1"/>
        <v>121</v>
      </c>
      <c r="B126" s="31"/>
      <c r="C126" s="32" t="s">
        <v>100</v>
      </c>
      <c r="D126" s="33" t="s">
        <v>139</v>
      </c>
      <c r="E126" s="42">
        <f>(31.5+7+31.5+10+14.5+10.5+14.5+5+13+28.5+22.5+4+13+17.5+25+2.5+22)*2.1</f>
        <v>572.25</v>
      </c>
      <c r="F126" s="83"/>
      <c r="G126" s="84"/>
      <c r="H126" s="84"/>
      <c r="I126" s="85"/>
    </row>
    <row r="127" spans="1:9" ht="30" customHeight="1">
      <c r="A127" s="28">
        <f t="shared" si="1"/>
        <v>122</v>
      </c>
      <c r="B127" s="31"/>
      <c r="C127" s="32" t="s">
        <v>108</v>
      </c>
      <c r="D127" s="33" t="s">
        <v>139</v>
      </c>
      <c r="E127" s="42">
        <f>(41+11.5+48.5+72+53+10+20)*2.1</f>
        <v>537.6</v>
      </c>
      <c r="F127" s="83"/>
      <c r="G127" s="84"/>
      <c r="H127" s="84"/>
      <c r="I127" s="85"/>
    </row>
    <row r="128" spans="1:9" ht="30" customHeight="1">
      <c r="A128" s="28">
        <f t="shared" si="1"/>
        <v>123</v>
      </c>
      <c r="B128" s="31"/>
      <c r="C128" s="32" t="s">
        <v>107</v>
      </c>
      <c r="D128" s="33" t="s">
        <v>139</v>
      </c>
      <c r="E128" s="42">
        <f>(347+220)*2.1</f>
        <v>1190.7</v>
      </c>
      <c r="F128" s="83"/>
      <c r="G128" s="84"/>
      <c r="H128" s="84"/>
      <c r="I128" s="85"/>
    </row>
    <row r="129" spans="1:10" ht="30" customHeight="1">
      <c r="A129" s="28">
        <f t="shared" si="1"/>
        <v>124</v>
      </c>
      <c r="B129" s="31"/>
      <c r="C129" s="32" t="s">
        <v>103</v>
      </c>
      <c r="D129" s="33" t="s">
        <v>139</v>
      </c>
      <c r="E129" s="42">
        <f>(15.5+10.5+10.5)*2.1</f>
        <v>76.650000000000006</v>
      </c>
      <c r="F129" s="83"/>
      <c r="G129" s="84"/>
      <c r="H129" s="84"/>
      <c r="I129" s="85"/>
    </row>
    <row r="130" spans="1:10" ht="30" customHeight="1">
      <c r="A130" s="28">
        <f t="shared" si="1"/>
        <v>125</v>
      </c>
      <c r="B130" s="31"/>
      <c r="C130" s="32" t="s">
        <v>105</v>
      </c>
      <c r="D130" s="33" t="s">
        <v>139</v>
      </c>
      <c r="E130" s="42">
        <f>76.5*2.1</f>
        <v>160.65</v>
      </c>
      <c r="F130" s="83"/>
      <c r="G130" s="84"/>
      <c r="H130" s="84"/>
      <c r="I130" s="85"/>
    </row>
    <row r="131" spans="1:10" ht="30" customHeight="1">
      <c r="A131" s="28">
        <f t="shared" si="1"/>
        <v>126</v>
      </c>
      <c r="B131" s="31"/>
      <c r="C131" s="32" t="s">
        <v>104</v>
      </c>
      <c r="D131" s="33" t="s">
        <v>139</v>
      </c>
      <c r="E131" s="42">
        <f>10*2.1</f>
        <v>21</v>
      </c>
      <c r="F131" s="83"/>
      <c r="G131" s="84"/>
      <c r="H131" s="84"/>
      <c r="I131" s="85"/>
    </row>
    <row r="132" spans="1:10" ht="30" customHeight="1">
      <c r="A132" s="28">
        <f t="shared" si="1"/>
        <v>127</v>
      </c>
      <c r="B132" s="31"/>
      <c r="C132" s="32" t="s">
        <v>106</v>
      </c>
      <c r="D132" s="33" t="s">
        <v>139</v>
      </c>
      <c r="E132" s="42">
        <f>71*2.1</f>
        <v>149.1</v>
      </c>
      <c r="F132" s="86"/>
      <c r="G132" s="87"/>
      <c r="H132" s="87"/>
      <c r="I132" s="88"/>
    </row>
    <row r="133" spans="1:10" ht="30" customHeight="1">
      <c r="A133" s="28">
        <f t="shared" si="1"/>
        <v>128</v>
      </c>
      <c r="B133" s="3"/>
      <c r="C133" s="99" t="s">
        <v>113</v>
      </c>
      <c r="D133" s="100"/>
      <c r="E133" s="100"/>
      <c r="F133" s="2" t="s">
        <v>139</v>
      </c>
      <c r="G133" s="38">
        <f>SUM(E134:E142)</f>
        <v>4213</v>
      </c>
      <c r="H133" s="3"/>
      <c r="I133" s="4">
        <f>G133*H133</f>
        <v>0</v>
      </c>
      <c r="J133" s="20"/>
    </row>
    <row r="134" spans="1:10" ht="30" customHeight="1">
      <c r="A134" s="28">
        <f t="shared" si="1"/>
        <v>129</v>
      </c>
      <c r="B134" s="31"/>
      <c r="C134" s="32" t="s">
        <v>144</v>
      </c>
      <c r="D134" s="33" t="s">
        <v>139</v>
      </c>
      <c r="E134" s="42">
        <v>1675</v>
      </c>
      <c r="F134" s="80"/>
      <c r="G134" s="81"/>
      <c r="H134" s="81"/>
      <c r="I134" s="82"/>
    </row>
    <row r="135" spans="1:10" ht="30" customHeight="1">
      <c r="A135" s="28">
        <f t="shared" si="1"/>
        <v>130</v>
      </c>
      <c r="B135" s="31"/>
      <c r="C135" s="32" t="s">
        <v>143</v>
      </c>
      <c r="D135" s="33" t="s">
        <v>139</v>
      </c>
      <c r="E135" s="42">
        <v>1294</v>
      </c>
      <c r="F135" s="83"/>
      <c r="G135" s="84"/>
      <c r="H135" s="84"/>
      <c r="I135" s="85"/>
    </row>
    <row r="136" spans="1:10" ht="30" customHeight="1">
      <c r="A136" s="28">
        <f t="shared" ref="A136:A199" si="3">A135+1</f>
        <v>131</v>
      </c>
      <c r="B136" s="31"/>
      <c r="C136" s="32" t="s">
        <v>145</v>
      </c>
      <c r="D136" s="33" t="s">
        <v>139</v>
      </c>
      <c r="E136" s="42">
        <v>128</v>
      </c>
      <c r="F136" s="83"/>
      <c r="G136" s="84"/>
      <c r="H136" s="84"/>
      <c r="I136" s="85"/>
    </row>
    <row r="137" spans="1:10" ht="30" customHeight="1">
      <c r="A137" s="28">
        <f t="shared" si="3"/>
        <v>132</v>
      </c>
      <c r="B137" s="31"/>
      <c r="C137" s="32" t="s">
        <v>146</v>
      </c>
      <c r="D137" s="33" t="s">
        <v>137</v>
      </c>
      <c r="E137" s="42">
        <f>20*3</f>
        <v>60</v>
      </c>
      <c r="F137" s="83"/>
      <c r="G137" s="84"/>
      <c r="H137" s="84"/>
      <c r="I137" s="85"/>
    </row>
    <row r="138" spans="1:10" ht="30" customHeight="1">
      <c r="A138" s="28">
        <f t="shared" si="3"/>
        <v>133</v>
      </c>
      <c r="B138" s="31"/>
      <c r="C138" s="32" t="s">
        <v>100</v>
      </c>
      <c r="D138" s="33" t="s">
        <v>139</v>
      </c>
      <c r="E138" s="42">
        <v>717</v>
      </c>
      <c r="F138" s="83"/>
      <c r="G138" s="84"/>
      <c r="H138" s="84"/>
      <c r="I138" s="85"/>
    </row>
    <row r="139" spans="1:10" ht="30" customHeight="1">
      <c r="A139" s="28">
        <f t="shared" si="3"/>
        <v>134</v>
      </c>
      <c r="B139" s="31"/>
      <c r="C139" s="32" t="s">
        <v>108</v>
      </c>
      <c r="D139" s="33" t="s">
        <v>139</v>
      </c>
      <c r="E139" s="42">
        <v>32</v>
      </c>
      <c r="F139" s="83"/>
      <c r="G139" s="84"/>
      <c r="H139" s="84"/>
      <c r="I139" s="85"/>
    </row>
    <row r="140" spans="1:10" ht="30" customHeight="1">
      <c r="A140" s="28">
        <f t="shared" si="3"/>
        <v>135</v>
      </c>
      <c r="B140" s="31"/>
      <c r="C140" s="32" t="s">
        <v>107</v>
      </c>
      <c r="D140" s="33" t="s">
        <v>139</v>
      </c>
      <c r="E140" s="42">
        <v>190</v>
      </c>
      <c r="F140" s="83"/>
      <c r="G140" s="84"/>
      <c r="H140" s="84"/>
      <c r="I140" s="85"/>
    </row>
    <row r="141" spans="1:10" ht="30" customHeight="1">
      <c r="A141" s="28">
        <f t="shared" si="3"/>
        <v>136</v>
      </c>
      <c r="B141" s="31"/>
      <c r="C141" s="32" t="s">
        <v>103</v>
      </c>
      <c r="D141" s="33" t="s">
        <v>139</v>
      </c>
      <c r="E141" s="42">
        <v>71</v>
      </c>
      <c r="F141" s="83"/>
      <c r="G141" s="84"/>
      <c r="H141" s="84"/>
      <c r="I141" s="85"/>
    </row>
    <row r="142" spans="1:10" ht="30" customHeight="1">
      <c r="A142" s="28">
        <f t="shared" si="3"/>
        <v>137</v>
      </c>
      <c r="B142" s="31"/>
      <c r="C142" s="32" t="s">
        <v>106</v>
      </c>
      <c r="D142" s="33" t="s">
        <v>139</v>
      </c>
      <c r="E142" s="42">
        <f>6+5+15+20</f>
        <v>46</v>
      </c>
      <c r="F142" s="86"/>
      <c r="G142" s="87"/>
      <c r="H142" s="87"/>
      <c r="I142" s="88"/>
    </row>
    <row r="143" spans="1:10" ht="30" customHeight="1">
      <c r="A143" s="28">
        <f t="shared" si="3"/>
        <v>138</v>
      </c>
      <c r="B143" s="25"/>
      <c r="C143" s="112" t="s">
        <v>114</v>
      </c>
      <c r="D143" s="113"/>
      <c r="E143" s="113"/>
      <c r="F143" s="29" t="s">
        <v>135</v>
      </c>
      <c r="G143" s="61" t="s">
        <v>135</v>
      </c>
      <c r="H143" s="25" t="s">
        <v>135</v>
      </c>
      <c r="I143" s="4" t="s">
        <v>135</v>
      </c>
    </row>
    <row r="144" spans="1:10" ht="30" customHeight="1">
      <c r="A144" s="28">
        <f t="shared" si="3"/>
        <v>139</v>
      </c>
      <c r="B144" s="25"/>
      <c r="C144" s="99" t="s">
        <v>100</v>
      </c>
      <c r="D144" s="100" t="s">
        <v>139</v>
      </c>
      <c r="E144" s="100">
        <v>2615</v>
      </c>
      <c r="F144" s="2" t="s">
        <v>139</v>
      </c>
      <c r="G144" s="38">
        <v>2615</v>
      </c>
      <c r="H144" s="3"/>
      <c r="I144" s="4">
        <f t="shared" ref="I144:I151" si="4">G144*H144</f>
        <v>0</v>
      </c>
    </row>
    <row r="145" spans="1:9" ht="30" customHeight="1">
      <c r="A145" s="28">
        <f t="shared" si="3"/>
        <v>140</v>
      </c>
      <c r="B145" s="25"/>
      <c r="C145" s="99" t="s">
        <v>108</v>
      </c>
      <c r="D145" s="100" t="s">
        <v>139</v>
      </c>
      <c r="E145" s="100">
        <v>1766</v>
      </c>
      <c r="F145" s="2" t="s">
        <v>139</v>
      </c>
      <c r="G145" s="38">
        <v>1766</v>
      </c>
      <c r="H145" s="3"/>
      <c r="I145" s="4">
        <f t="shared" si="4"/>
        <v>0</v>
      </c>
    </row>
    <row r="146" spans="1:9" ht="30" customHeight="1">
      <c r="A146" s="28">
        <f t="shared" si="3"/>
        <v>141</v>
      </c>
      <c r="B146" s="25"/>
      <c r="C146" s="99" t="s">
        <v>107</v>
      </c>
      <c r="D146" s="100" t="s">
        <v>139</v>
      </c>
      <c r="E146" s="100">
        <v>2993</v>
      </c>
      <c r="F146" s="2" t="s">
        <v>139</v>
      </c>
      <c r="G146" s="38">
        <v>2993</v>
      </c>
      <c r="H146" s="3"/>
      <c r="I146" s="4">
        <f t="shared" si="4"/>
        <v>0</v>
      </c>
    </row>
    <row r="147" spans="1:9" ht="30" customHeight="1">
      <c r="A147" s="28">
        <f t="shared" si="3"/>
        <v>142</v>
      </c>
      <c r="B147" s="25"/>
      <c r="C147" s="99" t="s">
        <v>106</v>
      </c>
      <c r="D147" s="100" t="s">
        <v>139</v>
      </c>
      <c r="E147" s="100">
        <v>962</v>
      </c>
      <c r="F147" s="2" t="s">
        <v>139</v>
      </c>
      <c r="G147" s="38">
        <v>962</v>
      </c>
      <c r="H147" s="3"/>
      <c r="I147" s="4">
        <f t="shared" si="4"/>
        <v>0</v>
      </c>
    </row>
    <row r="148" spans="1:9" ht="30" customHeight="1">
      <c r="A148" s="28">
        <f t="shared" si="3"/>
        <v>143</v>
      </c>
      <c r="B148" s="25"/>
      <c r="C148" s="99" t="s">
        <v>105</v>
      </c>
      <c r="D148" s="100" t="s">
        <v>139</v>
      </c>
      <c r="E148" s="100">
        <v>753</v>
      </c>
      <c r="F148" s="2" t="s">
        <v>139</v>
      </c>
      <c r="G148" s="38">
        <v>753</v>
      </c>
      <c r="H148" s="3"/>
      <c r="I148" s="4">
        <f t="shared" si="4"/>
        <v>0</v>
      </c>
    </row>
    <row r="149" spans="1:9" ht="30" customHeight="1">
      <c r="A149" s="28">
        <f t="shared" si="3"/>
        <v>144</v>
      </c>
      <c r="B149" s="25"/>
      <c r="C149" s="99" t="s">
        <v>104</v>
      </c>
      <c r="D149" s="100" t="s">
        <v>139</v>
      </c>
      <c r="E149" s="100">
        <v>161</v>
      </c>
      <c r="F149" s="2" t="s">
        <v>139</v>
      </c>
      <c r="G149" s="38">
        <v>161</v>
      </c>
      <c r="H149" s="3"/>
      <c r="I149" s="4">
        <f t="shared" si="4"/>
        <v>0</v>
      </c>
    </row>
    <row r="150" spans="1:9" ht="30" customHeight="1">
      <c r="A150" s="28">
        <f t="shared" si="3"/>
        <v>145</v>
      </c>
      <c r="B150" s="25"/>
      <c r="C150" s="99" t="s">
        <v>103</v>
      </c>
      <c r="D150" s="100" t="s">
        <v>139</v>
      </c>
      <c r="E150" s="100">
        <v>263</v>
      </c>
      <c r="F150" s="2" t="s">
        <v>139</v>
      </c>
      <c r="G150" s="38">
        <v>263</v>
      </c>
      <c r="H150" s="3"/>
      <c r="I150" s="4">
        <f t="shared" si="4"/>
        <v>0</v>
      </c>
    </row>
    <row r="151" spans="1:9" ht="30" customHeight="1">
      <c r="A151" s="28">
        <f t="shared" si="3"/>
        <v>146</v>
      </c>
      <c r="B151" s="25"/>
      <c r="C151" s="99" t="s">
        <v>102</v>
      </c>
      <c r="D151" s="100" t="s">
        <v>139</v>
      </c>
      <c r="E151" s="100">
        <f>20510*1.2</f>
        <v>24612</v>
      </c>
      <c r="F151" s="2" t="s">
        <v>139</v>
      </c>
      <c r="G151" s="38">
        <f>20510*1.2</f>
        <v>24612</v>
      </c>
      <c r="H151" s="3"/>
      <c r="I151" s="4">
        <f t="shared" si="4"/>
        <v>0</v>
      </c>
    </row>
    <row r="152" spans="1:9" ht="30" customHeight="1">
      <c r="A152" s="28">
        <f t="shared" si="3"/>
        <v>147</v>
      </c>
      <c r="B152" s="17" t="s">
        <v>33</v>
      </c>
      <c r="C152" s="95" t="s">
        <v>34</v>
      </c>
      <c r="D152" s="96"/>
      <c r="E152" s="96"/>
      <c r="F152" s="2" t="s">
        <v>135</v>
      </c>
      <c r="G152" s="38" t="s">
        <v>135</v>
      </c>
      <c r="H152" s="3" t="s">
        <v>135</v>
      </c>
      <c r="I152" s="4" t="s">
        <v>135</v>
      </c>
    </row>
    <row r="153" spans="1:9" ht="30" customHeight="1">
      <c r="A153" s="28">
        <f t="shared" si="3"/>
        <v>148</v>
      </c>
      <c r="B153" s="25"/>
      <c r="C153" s="101" t="s">
        <v>112</v>
      </c>
      <c r="D153" s="102"/>
      <c r="E153" s="102"/>
      <c r="F153" s="29" t="s">
        <v>135</v>
      </c>
      <c r="G153" s="61" t="s">
        <v>135</v>
      </c>
      <c r="H153" s="25" t="s">
        <v>135</v>
      </c>
      <c r="I153" s="4" t="s">
        <v>135</v>
      </c>
    </row>
    <row r="154" spans="1:9" ht="30" customHeight="1">
      <c r="A154" s="28">
        <f t="shared" si="3"/>
        <v>149</v>
      </c>
      <c r="B154" s="25"/>
      <c r="C154" s="97" t="s">
        <v>100</v>
      </c>
      <c r="D154" s="98" t="s">
        <v>139</v>
      </c>
      <c r="E154" s="98">
        <f>2235*1.15</f>
        <v>2570.25</v>
      </c>
      <c r="F154" s="2" t="s">
        <v>139</v>
      </c>
      <c r="G154" s="38">
        <f>2235*1.15</f>
        <v>2570.25</v>
      </c>
      <c r="H154" s="3"/>
      <c r="I154" s="4">
        <f>G154*H154</f>
        <v>0</v>
      </c>
    </row>
    <row r="155" spans="1:9" ht="30" customHeight="1">
      <c r="A155" s="28">
        <f t="shared" si="3"/>
        <v>150</v>
      </c>
      <c r="B155" s="25"/>
      <c r="C155" s="97" t="s">
        <v>108</v>
      </c>
      <c r="D155" s="98" t="s">
        <v>139</v>
      </c>
      <c r="E155" s="98">
        <f>1509*1.15</f>
        <v>1735.35</v>
      </c>
      <c r="F155" s="2" t="s">
        <v>139</v>
      </c>
      <c r="G155" s="38">
        <f>1509*1.15</f>
        <v>1735.35</v>
      </c>
      <c r="H155" s="3"/>
      <c r="I155" s="4">
        <f>G155*H155</f>
        <v>0</v>
      </c>
    </row>
    <row r="156" spans="1:9" ht="30" customHeight="1">
      <c r="A156" s="28">
        <f t="shared" si="3"/>
        <v>151</v>
      </c>
      <c r="B156" s="25"/>
      <c r="C156" s="97" t="s">
        <v>107</v>
      </c>
      <c r="D156" s="98" t="s">
        <v>139</v>
      </c>
      <c r="E156" s="98">
        <f>2558*1.15</f>
        <v>2941.7</v>
      </c>
      <c r="F156" s="2" t="s">
        <v>139</v>
      </c>
      <c r="G156" s="38">
        <f>2558*1.15</f>
        <v>2941.7</v>
      </c>
      <c r="H156" s="3"/>
      <c r="I156" s="4">
        <f>G156*H156</f>
        <v>0</v>
      </c>
    </row>
    <row r="157" spans="1:9" ht="30" customHeight="1">
      <c r="A157" s="28">
        <f t="shared" si="3"/>
        <v>152</v>
      </c>
      <c r="B157" s="25"/>
      <c r="C157" s="97" t="s">
        <v>106</v>
      </c>
      <c r="D157" s="98" t="s">
        <v>139</v>
      </c>
      <c r="E157" s="98">
        <f>962/1.005</f>
        <v>957.21393034825883</v>
      </c>
      <c r="F157" s="2" t="s">
        <v>139</v>
      </c>
      <c r="G157" s="38">
        <f>962/1.005</f>
        <v>957.21393034825883</v>
      </c>
      <c r="H157" s="3"/>
      <c r="I157" s="4">
        <f>G157*H157</f>
        <v>0</v>
      </c>
    </row>
    <row r="158" spans="1:9" ht="30" customHeight="1">
      <c r="A158" s="28">
        <f t="shared" si="3"/>
        <v>153</v>
      </c>
      <c r="B158" s="25"/>
      <c r="C158" s="97" t="s">
        <v>105</v>
      </c>
      <c r="D158" s="98" t="s">
        <v>139</v>
      </c>
      <c r="E158" s="98">
        <f>643*1.15</f>
        <v>739.44999999999993</v>
      </c>
      <c r="F158" s="2" t="s">
        <v>139</v>
      </c>
      <c r="G158" s="38">
        <f>643*1.15</f>
        <v>739.44999999999993</v>
      </c>
      <c r="H158" s="3"/>
      <c r="I158" s="4">
        <f t="shared" ref="I158:I161" si="5">G158*H158</f>
        <v>0</v>
      </c>
    </row>
    <row r="159" spans="1:9" ht="30" customHeight="1">
      <c r="A159" s="28">
        <f t="shared" si="3"/>
        <v>154</v>
      </c>
      <c r="B159" s="25"/>
      <c r="C159" s="97" t="s">
        <v>104</v>
      </c>
      <c r="D159" s="98" t="s">
        <v>139</v>
      </c>
      <c r="E159" s="98">
        <f>137*1.15</f>
        <v>157.54999999999998</v>
      </c>
      <c r="F159" s="2" t="s">
        <v>139</v>
      </c>
      <c r="G159" s="38">
        <f>137*1.15</f>
        <v>157.54999999999998</v>
      </c>
      <c r="H159" s="3"/>
      <c r="I159" s="4">
        <f t="shared" si="5"/>
        <v>0</v>
      </c>
    </row>
    <row r="160" spans="1:9" ht="30" customHeight="1">
      <c r="A160" s="28">
        <f t="shared" si="3"/>
        <v>155</v>
      </c>
      <c r="B160" s="25"/>
      <c r="C160" s="97" t="s">
        <v>103</v>
      </c>
      <c r="D160" s="98" t="s">
        <v>139</v>
      </c>
      <c r="E160" s="98">
        <f>224*1.15</f>
        <v>257.59999999999997</v>
      </c>
      <c r="F160" s="2" t="s">
        <v>139</v>
      </c>
      <c r="G160" s="38">
        <f>224*1.15</f>
        <v>257.59999999999997</v>
      </c>
      <c r="H160" s="3"/>
      <c r="I160" s="4">
        <f t="shared" si="5"/>
        <v>0</v>
      </c>
    </row>
    <row r="161" spans="1:9" ht="30" customHeight="1">
      <c r="A161" s="28">
        <f t="shared" si="3"/>
        <v>156</v>
      </c>
      <c r="B161" s="25"/>
      <c r="C161" s="97" t="s">
        <v>102</v>
      </c>
      <c r="D161" s="98" t="s">
        <v>139</v>
      </c>
      <c r="E161" s="98">
        <f>20510*1.15</f>
        <v>23586.499999999996</v>
      </c>
      <c r="F161" s="2" t="s">
        <v>139</v>
      </c>
      <c r="G161" s="38">
        <f>20510*1.15</f>
        <v>23586.499999999996</v>
      </c>
      <c r="H161" s="3"/>
      <c r="I161" s="4">
        <f t="shared" si="5"/>
        <v>0</v>
      </c>
    </row>
    <row r="162" spans="1:9" ht="30" customHeight="1">
      <c r="A162" s="28">
        <f t="shared" si="3"/>
        <v>157</v>
      </c>
      <c r="B162" s="11" t="s">
        <v>35</v>
      </c>
      <c r="C162" s="110" t="s">
        <v>36</v>
      </c>
      <c r="D162" s="111"/>
      <c r="E162" s="111"/>
      <c r="F162" s="5" t="s">
        <v>135</v>
      </c>
      <c r="G162" s="60" t="s">
        <v>135</v>
      </c>
      <c r="H162" s="6" t="s">
        <v>135</v>
      </c>
      <c r="I162" s="63">
        <f>I165+SUM(I168:I174)+I176+I186+I188+I198+I200</f>
        <v>0</v>
      </c>
    </row>
    <row r="163" spans="1:9" ht="30" customHeight="1">
      <c r="A163" s="28">
        <f t="shared" si="3"/>
        <v>158</v>
      </c>
      <c r="B163" s="3" t="s">
        <v>37</v>
      </c>
      <c r="C163" s="99" t="s">
        <v>111</v>
      </c>
      <c r="D163" s="100"/>
      <c r="E163" s="100"/>
      <c r="F163" s="2" t="s">
        <v>135</v>
      </c>
      <c r="G163" s="38" t="s">
        <v>135</v>
      </c>
      <c r="H163" s="3" t="s">
        <v>135</v>
      </c>
      <c r="I163" s="4" t="s">
        <v>135</v>
      </c>
    </row>
    <row r="164" spans="1:9" ht="30" customHeight="1">
      <c r="A164" s="28">
        <f t="shared" si="3"/>
        <v>159</v>
      </c>
      <c r="B164" s="25"/>
      <c r="C164" s="112" t="s">
        <v>110</v>
      </c>
      <c r="D164" s="113"/>
      <c r="E164" s="113"/>
      <c r="F164" s="29" t="s">
        <v>135</v>
      </c>
      <c r="G164" s="61" t="s">
        <v>135</v>
      </c>
      <c r="H164" s="25" t="s">
        <v>135</v>
      </c>
      <c r="I164" s="30" t="s">
        <v>135</v>
      </c>
    </row>
    <row r="165" spans="1:9" ht="30" customHeight="1">
      <c r="A165" s="28">
        <f t="shared" si="3"/>
        <v>160</v>
      </c>
      <c r="B165" s="25"/>
      <c r="C165" s="99" t="s">
        <v>100</v>
      </c>
      <c r="D165" s="100" t="s">
        <v>139</v>
      </c>
      <c r="E165" s="100">
        <f>2235*1.15</f>
        <v>2570.25</v>
      </c>
      <c r="F165" s="2" t="s">
        <v>139</v>
      </c>
      <c r="G165" s="38">
        <f>2235*1.15</f>
        <v>2570.25</v>
      </c>
      <c r="H165" s="3"/>
      <c r="I165" s="4">
        <f t="shared" ref="I165" si="6">G165*H165</f>
        <v>0</v>
      </c>
    </row>
    <row r="166" spans="1:9" ht="30" customHeight="1">
      <c r="A166" s="28">
        <f t="shared" si="3"/>
        <v>161</v>
      </c>
      <c r="B166" s="17" t="s">
        <v>38</v>
      </c>
      <c r="C166" s="95" t="s">
        <v>109</v>
      </c>
      <c r="D166" s="96"/>
      <c r="E166" s="96"/>
      <c r="F166" s="2" t="s">
        <v>135</v>
      </c>
      <c r="G166" s="38" t="s">
        <v>135</v>
      </c>
      <c r="H166" s="3" t="s">
        <v>135</v>
      </c>
      <c r="I166" s="4" t="s">
        <v>135</v>
      </c>
    </row>
    <row r="167" spans="1:9" ht="30" customHeight="1">
      <c r="A167" s="28">
        <f t="shared" si="3"/>
        <v>162</v>
      </c>
      <c r="B167" s="26"/>
      <c r="C167" s="122" t="s">
        <v>125</v>
      </c>
      <c r="D167" s="123"/>
      <c r="E167" s="123"/>
      <c r="F167" s="29" t="s">
        <v>135</v>
      </c>
      <c r="G167" s="61" t="s">
        <v>135</v>
      </c>
      <c r="H167" s="25" t="s">
        <v>135</v>
      </c>
      <c r="I167" s="30" t="s">
        <v>135</v>
      </c>
    </row>
    <row r="168" spans="1:9" ht="30" customHeight="1">
      <c r="A168" s="28">
        <f t="shared" si="3"/>
        <v>163</v>
      </c>
      <c r="B168" s="26"/>
      <c r="C168" s="95" t="s">
        <v>108</v>
      </c>
      <c r="D168" s="96"/>
      <c r="E168" s="96"/>
      <c r="F168" s="2" t="s">
        <v>139</v>
      </c>
      <c r="G168" s="38">
        <f>1509*1.15</f>
        <v>1735.35</v>
      </c>
      <c r="H168" s="3"/>
      <c r="I168" s="4">
        <f t="shared" ref="I168:I176" si="7">G168*H168</f>
        <v>0</v>
      </c>
    </row>
    <row r="169" spans="1:9" ht="30" customHeight="1">
      <c r="A169" s="28">
        <f t="shared" si="3"/>
        <v>164</v>
      </c>
      <c r="B169" s="26"/>
      <c r="C169" s="95" t="s">
        <v>107</v>
      </c>
      <c r="D169" s="96"/>
      <c r="E169" s="96"/>
      <c r="F169" s="2" t="s">
        <v>139</v>
      </c>
      <c r="G169" s="38">
        <f>2558*1.15</f>
        <v>2941.7</v>
      </c>
      <c r="H169" s="3"/>
      <c r="I169" s="4">
        <f t="shared" si="7"/>
        <v>0</v>
      </c>
    </row>
    <row r="170" spans="1:9" ht="30" customHeight="1">
      <c r="A170" s="28">
        <f t="shared" si="3"/>
        <v>165</v>
      </c>
      <c r="B170" s="26"/>
      <c r="C170" s="95" t="s">
        <v>106</v>
      </c>
      <c r="D170" s="96"/>
      <c r="E170" s="96"/>
      <c r="F170" s="2" t="s">
        <v>139</v>
      </c>
      <c r="G170" s="38">
        <f>962/1.005</f>
        <v>957.21393034825883</v>
      </c>
      <c r="H170" s="3"/>
      <c r="I170" s="4">
        <f t="shared" si="7"/>
        <v>0</v>
      </c>
    </row>
    <row r="171" spans="1:9" ht="30" customHeight="1">
      <c r="A171" s="28">
        <f t="shared" si="3"/>
        <v>166</v>
      </c>
      <c r="B171" s="26"/>
      <c r="C171" s="95" t="s">
        <v>105</v>
      </c>
      <c r="D171" s="96"/>
      <c r="E171" s="96"/>
      <c r="F171" s="2" t="s">
        <v>139</v>
      </c>
      <c r="G171" s="38">
        <f>643*1.15</f>
        <v>739.44999999999993</v>
      </c>
      <c r="H171" s="3"/>
      <c r="I171" s="4">
        <f t="shared" si="7"/>
        <v>0</v>
      </c>
    </row>
    <row r="172" spans="1:9" ht="30" customHeight="1">
      <c r="A172" s="28">
        <f t="shared" si="3"/>
        <v>167</v>
      </c>
      <c r="B172" s="26"/>
      <c r="C172" s="95" t="s">
        <v>104</v>
      </c>
      <c r="D172" s="96"/>
      <c r="E172" s="96"/>
      <c r="F172" s="2" t="s">
        <v>139</v>
      </c>
      <c r="G172" s="38">
        <f>137*1.15</f>
        <v>157.54999999999998</v>
      </c>
      <c r="H172" s="3"/>
      <c r="I172" s="4">
        <f t="shared" si="7"/>
        <v>0</v>
      </c>
    </row>
    <row r="173" spans="1:9" ht="30" customHeight="1">
      <c r="A173" s="28">
        <f t="shared" si="3"/>
        <v>168</v>
      </c>
      <c r="B173" s="26"/>
      <c r="C173" s="95" t="s">
        <v>103</v>
      </c>
      <c r="D173" s="96"/>
      <c r="E173" s="96"/>
      <c r="F173" s="2" t="s">
        <v>139</v>
      </c>
      <c r="G173" s="38">
        <f>224*1.15</f>
        <v>257.59999999999997</v>
      </c>
      <c r="H173" s="3"/>
      <c r="I173" s="4">
        <f t="shared" si="7"/>
        <v>0</v>
      </c>
    </row>
    <row r="174" spans="1:9" ht="30" customHeight="1">
      <c r="A174" s="28">
        <f t="shared" si="3"/>
        <v>169</v>
      </c>
      <c r="B174" s="26"/>
      <c r="C174" s="95" t="s">
        <v>102</v>
      </c>
      <c r="D174" s="96"/>
      <c r="E174" s="96"/>
      <c r="F174" s="2" t="s">
        <v>139</v>
      </c>
      <c r="G174" s="38">
        <f>20510*1.15</f>
        <v>23586.499999999996</v>
      </c>
      <c r="H174" s="3"/>
      <c r="I174" s="4">
        <f t="shared" si="7"/>
        <v>0</v>
      </c>
    </row>
    <row r="175" spans="1:9" ht="30" customHeight="1">
      <c r="A175" s="28">
        <f t="shared" si="3"/>
        <v>170</v>
      </c>
      <c r="B175" s="25" t="s">
        <v>39</v>
      </c>
      <c r="C175" s="101" t="s">
        <v>40</v>
      </c>
      <c r="D175" s="102"/>
      <c r="E175" s="102"/>
      <c r="F175" s="29" t="s">
        <v>135</v>
      </c>
      <c r="G175" s="61" t="s">
        <v>135</v>
      </c>
      <c r="H175" s="25" t="s">
        <v>135</v>
      </c>
      <c r="I175" s="30" t="s">
        <v>135</v>
      </c>
    </row>
    <row r="176" spans="1:9" s="21" customFormat="1" ht="30" customHeight="1">
      <c r="A176" s="28">
        <f t="shared" si="3"/>
        <v>171</v>
      </c>
      <c r="B176" s="3"/>
      <c r="C176" s="99" t="s">
        <v>41</v>
      </c>
      <c r="D176" s="100"/>
      <c r="E176" s="100"/>
      <c r="F176" s="2" t="s">
        <v>139</v>
      </c>
      <c r="G176" s="38">
        <f>SUM(E177:E183)</f>
        <v>7307.08</v>
      </c>
      <c r="H176" s="3"/>
      <c r="I176" s="4">
        <f t="shared" si="7"/>
        <v>0</v>
      </c>
    </row>
    <row r="177" spans="1:11" s="21" customFormat="1" ht="30" customHeight="1">
      <c r="A177" s="28">
        <f t="shared" si="3"/>
        <v>172</v>
      </c>
      <c r="B177" s="31"/>
      <c r="C177" s="32" t="s">
        <v>100</v>
      </c>
      <c r="D177" s="33" t="s">
        <v>139</v>
      </c>
      <c r="E177" s="42">
        <f>5.5*(364.6-73.04)</f>
        <v>1603.58</v>
      </c>
      <c r="F177" s="80"/>
      <c r="G177" s="81"/>
      <c r="H177" s="81"/>
      <c r="I177" s="82"/>
      <c r="J177" s="23"/>
    </row>
    <row r="178" spans="1:11" s="21" customFormat="1" ht="30" customHeight="1">
      <c r="A178" s="28">
        <f t="shared" si="3"/>
        <v>173</v>
      </c>
      <c r="B178" s="31"/>
      <c r="C178" s="32" t="s">
        <v>108</v>
      </c>
      <c r="D178" s="33" t="s">
        <v>139</v>
      </c>
      <c r="E178" s="42">
        <f>3*(250-14)</f>
        <v>708</v>
      </c>
      <c r="F178" s="83"/>
      <c r="G178" s="84"/>
      <c r="H178" s="84"/>
      <c r="I178" s="85"/>
    </row>
    <row r="179" spans="1:11" s="21" customFormat="1" ht="30" customHeight="1">
      <c r="A179" s="28">
        <f t="shared" si="3"/>
        <v>174</v>
      </c>
      <c r="B179" s="31"/>
      <c r="C179" s="32" t="s">
        <v>106</v>
      </c>
      <c r="D179" s="33" t="s">
        <v>139</v>
      </c>
      <c r="E179" s="42">
        <f>3.5*411</f>
        <v>1438.5</v>
      </c>
      <c r="F179" s="83"/>
      <c r="G179" s="84"/>
      <c r="H179" s="84"/>
      <c r="I179" s="85"/>
    </row>
    <row r="180" spans="1:11" s="21" customFormat="1" ht="30" customHeight="1">
      <c r="A180" s="28">
        <f t="shared" si="3"/>
        <v>175</v>
      </c>
      <c r="B180" s="31"/>
      <c r="C180" s="32" t="s">
        <v>148</v>
      </c>
      <c r="D180" s="33" t="s">
        <v>139</v>
      </c>
      <c r="E180" s="42">
        <f>3.5*60</f>
        <v>210</v>
      </c>
      <c r="F180" s="83"/>
      <c r="G180" s="84"/>
      <c r="H180" s="84"/>
      <c r="I180" s="85"/>
    </row>
    <row r="181" spans="1:11" s="21" customFormat="1" ht="30" customHeight="1">
      <c r="A181" s="28">
        <f t="shared" si="3"/>
        <v>176</v>
      </c>
      <c r="B181" s="31"/>
      <c r="C181" s="32" t="s">
        <v>107</v>
      </c>
      <c r="D181" s="33" t="s">
        <v>139</v>
      </c>
      <c r="E181" s="42">
        <f>582*5</f>
        <v>2910</v>
      </c>
      <c r="F181" s="83"/>
      <c r="G181" s="84"/>
      <c r="H181" s="84"/>
      <c r="I181" s="85"/>
    </row>
    <row r="182" spans="1:11" s="21" customFormat="1" ht="30" customHeight="1">
      <c r="A182" s="28">
        <f t="shared" si="3"/>
        <v>177</v>
      </c>
      <c r="B182" s="31"/>
      <c r="C182" s="32" t="s">
        <v>103</v>
      </c>
      <c r="D182" s="33" t="s">
        <v>139</v>
      </c>
      <c r="E182" s="42">
        <f>32*11</f>
        <v>352</v>
      </c>
      <c r="F182" s="83"/>
      <c r="G182" s="84"/>
      <c r="H182" s="84"/>
      <c r="I182" s="85"/>
    </row>
    <row r="183" spans="1:11" s="21" customFormat="1" ht="30" customHeight="1">
      <c r="A183" s="28">
        <f t="shared" si="3"/>
        <v>178</v>
      </c>
      <c r="B183" s="31"/>
      <c r="C183" s="32" t="s">
        <v>104</v>
      </c>
      <c r="D183" s="33" t="s">
        <v>139</v>
      </c>
      <c r="E183" s="42">
        <f>5*17</f>
        <v>85</v>
      </c>
      <c r="F183" s="86"/>
      <c r="G183" s="87"/>
      <c r="H183" s="87"/>
      <c r="I183" s="88"/>
    </row>
    <row r="184" spans="1:11" ht="30" customHeight="1">
      <c r="A184" s="28">
        <f t="shared" si="3"/>
        <v>179</v>
      </c>
      <c r="B184" s="3" t="s">
        <v>42</v>
      </c>
      <c r="C184" s="97" t="s">
        <v>140</v>
      </c>
      <c r="D184" s="98"/>
      <c r="E184" s="98"/>
      <c r="F184" s="2" t="s">
        <v>135</v>
      </c>
      <c r="G184" s="38" t="s">
        <v>135</v>
      </c>
      <c r="H184" s="3" t="s">
        <v>135</v>
      </c>
      <c r="I184" s="4" t="s">
        <v>135</v>
      </c>
    </row>
    <row r="185" spans="1:11" ht="30" customHeight="1">
      <c r="A185" s="28">
        <f t="shared" si="3"/>
        <v>180</v>
      </c>
      <c r="B185" s="25"/>
      <c r="C185" s="101" t="s">
        <v>101</v>
      </c>
      <c r="D185" s="102"/>
      <c r="E185" s="102"/>
      <c r="F185" s="29" t="s">
        <v>135</v>
      </c>
      <c r="G185" s="61" t="s">
        <v>135</v>
      </c>
      <c r="H185" s="25" t="s">
        <v>135</v>
      </c>
      <c r="I185" s="30" t="s">
        <v>135</v>
      </c>
    </row>
    <row r="186" spans="1:11" ht="30" customHeight="1">
      <c r="A186" s="28">
        <f t="shared" si="3"/>
        <v>181</v>
      </c>
      <c r="B186" s="25"/>
      <c r="C186" s="97" t="s">
        <v>100</v>
      </c>
      <c r="D186" s="98"/>
      <c r="E186" s="98"/>
      <c r="F186" s="2" t="s">
        <v>139</v>
      </c>
      <c r="G186" s="38">
        <f>2235*1.15</f>
        <v>2570.25</v>
      </c>
      <c r="H186" s="3"/>
      <c r="I186" s="4">
        <f t="shared" ref="I186" si="8">G186*H186</f>
        <v>0</v>
      </c>
    </row>
    <row r="187" spans="1:11" ht="30" customHeight="1">
      <c r="A187" s="28">
        <f t="shared" si="3"/>
        <v>182</v>
      </c>
      <c r="B187" s="25" t="s">
        <v>43</v>
      </c>
      <c r="C187" s="101" t="s">
        <v>141</v>
      </c>
      <c r="D187" s="102"/>
      <c r="E187" s="102"/>
      <c r="F187" s="29" t="s">
        <v>135</v>
      </c>
      <c r="G187" s="61" t="s">
        <v>135</v>
      </c>
      <c r="H187" s="25" t="s">
        <v>135</v>
      </c>
      <c r="I187" s="30" t="s">
        <v>135</v>
      </c>
    </row>
    <row r="188" spans="1:11" ht="30" customHeight="1">
      <c r="A188" s="28">
        <f t="shared" si="3"/>
        <v>183</v>
      </c>
      <c r="B188" s="3"/>
      <c r="C188" s="97" t="s">
        <v>127</v>
      </c>
      <c r="D188" s="98"/>
      <c r="E188" s="98"/>
      <c r="F188" s="2" t="s">
        <v>139</v>
      </c>
      <c r="G188" s="38">
        <f>SUM(E189:E197)</f>
        <v>4213</v>
      </c>
      <c r="H188" s="3"/>
      <c r="I188" s="4">
        <f t="shared" ref="I188" si="9">G188*H188</f>
        <v>0</v>
      </c>
      <c r="J188" s="20"/>
      <c r="K188" s="20"/>
    </row>
    <row r="189" spans="1:11" ht="30" customHeight="1">
      <c r="A189" s="28">
        <f t="shared" si="3"/>
        <v>184</v>
      </c>
      <c r="B189" s="31"/>
      <c r="C189" s="32" t="s">
        <v>144</v>
      </c>
      <c r="D189" s="33" t="s">
        <v>139</v>
      </c>
      <c r="E189" s="42">
        <v>1675</v>
      </c>
      <c r="F189" s="80"/>
      <c r="G189" s="81"/>
      <c r="H189" s="81"/>
      <c r="I189" s="82"/>
    </row>
    <row r="190" spans="1:11" ht="30" customHeight="1">
      <c r="A190" s="28">
        <f t="shared" si="3"/>
        <v>185</v>
      </c>
      <c r="B190" s="31"/>
      <c r="C190" s="32" t="s">
        <v>143</v>
      </c>
      <c r="D190" s="33" t="s">
        <v>139</v>
      </c>
      <c r="E190" s="42">
        <v>1294</v>
      </c>
      <c r="F190" s="83"/>
      <c r="G190" s="84"/>
      <c r="H190" s="84"/>
      <c r="I190" s="85"/>
    </row>
    <row r="191" spans="1:11" ht="30" customHeight="1">
      <c r="A191" s="28">
        <f t="shared" si="3"/>
        <v>186</v>
      </c>
      <c r="B191" s="31"/>
      <c r="C191" s="32" t="s">
        <v>145</v>
      </c>
      <c r="D191" s="33" t="s">
        <v>139</v>
      </c>
      <c r="E191" s="42">
        <v>128</v>
      </c>
      <c r="F191" s="83"/>
      <c r="G191" s="84"/>
      <c r="H191" s="84"/>
      <c r="I191" s="85"/>
    </row>
    <row r="192" spans="1:11" ht="30" customHeight="1">
      <c r="A192" s="28">
        <f t="shared" si="3"/>
        <v>187</v>
      </c>
      <c r="B192" s="31"/>
      <c r="C192" s="32" t="s">
        <v>146</v>
      </c>
      <c r="D192" s="33" t="s">
        <v>137</v>
      </c>
      <c r="E192" s="42">
        <f>20*3</f>
        <v>60</v>
      </c>
      <c r="F192" s="83"/>
      <c r="G192" s="84"/>
      <c r="H192" s="84"/>
      <c r="I192" s="85"/>
    </row>
    <row r="193" spans="1:11" ht="30" customHeight="1">
      <c r="A193" s="28">
        <f t="shared" si="3"/>
        <v>188</v>
      </c>
      <c r="B193" s="31"/>
      <c r="C193" s="32" t="s">
        <v>100</v>
      </c>
      <c r="D193" s="33" t="s">
        <v>139</v>
      </c>
      <c r="E193" s="42">
        <v>717</v>
      </c>
      <c r="F193" s="83"/>
      <c r="G193" s="84"/>
      <c r="H193" s="84"/>
      <c r="I193" s="85"/>
    </row>
    <row r="194" spans="1:11" ht="30" customHeight="1">
      <c r="A194" s="28">
        <f t="shared" si="3"/>
        <v>189</v>
      </c>
      <c r="B194" s="31"/>
      <c r="C194" s="32" t="s">
        <v>108</v>
      </c>
      <c r="D194" s="33" t="s">
        <v>139</v>
      </c>
      <c r="E194" s="42">
        <v>32</v>
      </c>
      <c r="F194" s="83"/>
      <c r="G194" s="84"/>
      <c r="H194" s="84"/>
      <c r="I194" s="85"/>
    </row>
    <row r="195" spans="1:11" ht="30" customHeight="1">
      <c r="A195" s="28">
        <f t="shared" si="3"/>
        <v>190</v>
      </c>
      <c r="B195" s="31"/>
      <c r="C195" s="32" t="s">
        <v>107</v>
      </c>
      <c r="D195" s="33" t="s">
        <v>139</v>
      </c>
      <c r="E195" s="42">
        <v>190</v>
      </c>
      <c r="F195" s="83"/>
      <c r="G195" s="84"/>
      <c r="H195" s="84"/>
      <c r="I195" s="85"/>
    </row>
    <row r="196" spans="1:11" ht="30" customHeight="1">
      <c r="A196" s="28">
        <f t="shared" si="3"/>
        <v>191</v>
      </c>
      <c r="B196" s="31"/>
      <c r="C196" s="32" t="s">
        <v>103</v>
      </c>
      <c r="D196" s="33" t="s">
        <v>139</v>
      </c>
      <c r="E196" s="42">
        <v>71</v>
      </c>
      <c r="F196" s="83"/>
      <c r="G196" s="84"/>
      <c r="H196" s="84"/>
      <c r="I196" s="85"/>
    </row>
    <row r="197" spans="1:11" ht="30" customHeight="1">
      <c r="A197" s="28">
        <f t="shared" si="3"/>
        <v>192</v>
      </c>
      <c r="B197" s="31"/>
      <c r="C197" s="32" t="s">
        <v>106</v>
      </c>
      <c r="D197" s="33" t="s">
        <v>139</v>
      </c>
      <c r="E197" s="42">
        <f>6+5+15+20</f>
        <v>46</v>
      </c>
      <c r="F197" s="86"/>
      <c r="G197" s="87"/>
      <c r="H197" s="87"/>
      <c r="I197" s="88"/>
    </row>
    <row r="198" spans="1:11" ht="30" customHeight="1">
      <c r="A198" s="28">
        <f t="shared" si="3"/>
        <v>193</v>
      </c>
      <c r="B198" s="25" t="s">
        <v>44</v>
      </c>
      <c r="C198" s="101" t="s">
        <v>142</v>
      </c>
      <c r="D198" s="102"/>
      <c r="E198" s="102"/>
      <c r="F198" s="29" t="s">
        <v>139</v>
      </c>
      <c r="G198" s="61">
        <f>E199</f>
        <v>2570.25</v>
      </c>
      <c r="H198" s="25"/>
      <c r="I198" s="30">
        <f t="shared" ref="I198" si="10">G198*H198</f>
        <v>0</v>
      </c>
      <c r="J198" s="1"/>
    </row>
    <row r="199" spans="1:11" ht="30" customHeight="1">
      <c r="A199" s="28">
        <f t="shared" si="3"/>
        <v>194</v>
      </c>
      <c r="B199" s="31"/>
      <c r="C199" s="32" t="s">
        <v>100</v>
      </c>
      <c r="D199" s="33" t="s">
        <v>139</v>
      </c>
      <c r="E199" s="42">
        <f>2235*1.15</f>
        <v>2570.25</v>
      </c>
      <c r="F199" s="89"/>
      <c r="G199" s="90"/>
      <c r="H199" s="90"/>
      <c r="I199" s="91"/>
    </row>
    <row r="200" spans="1:11" ht="30" customHeight="1">
      <c r="A200" s="28">
        <f t="shared" ref="A200:A263" si="11">A199+1</f>
        <v>195</v>
      </c>
      <c r="B200" s="26" t="s">
        <v>99</v>
      </c>
      <c r="C200" s="122" t="s">
        <v>98</v>
      </c>
      <c r="D200" s="123"/>
      <c r="E200" s="123"/>
      <c r="F200" s="29" t="s">
        <v>139</v>
      </c>
      <c r="G200" s="61">
        <f>SUM(E201:E206)</f>
        <v>132</v>
      </c>
      <c r="H200" s="25"/>
      <c r="I200" s="30">
        <f t="shared" ref="I200" si="12">G200*H200</f>
        <v>0</v>
      </c>
      <c r="J200" s="20"/>
      <c r="K200" s="20"/>
    </row>
    <row r="201" spans="1:11" ht="30" customHeight="1">
      <c r="A201" s="28">
        <f t="shared" si="11"/>
        <v>196</v>
      </c>
      <c r="B201" s="31"/>
      <c r="C201" s="32" t="s">
        <v>100</v>
      </c>
      <c r="D201" s="33" t="s">
        <v>139</v>
      </c>
      <c r="E201" s="42">
        <f>5.5*2*2</f>
        <v>22</v>
      </c>
      <c r="F201" s="80"/>
      <c r="G201" s="81"/>
      <c r="H201" s="81"/>
      <c r="I201" s="82"/>
    </row>
    <row r="202" spans="1:11" ht="30" customHeight="1">
      <c r="A202" s="28">
        <f t="shared" si="11"/>
        <v>197</v>
      </c>
      <c r="B202" s="31"/>
      <c r="C202" s="32" t="s">
        <v>108</v>
      </c>
      <c r="D202" s="33" t="s">
        <v>139</v>
      </c>
      <c r="E202" s="42">
        <f>3*4</f>
        <v>12</v>
      </c>
      <c r="F202" s="83"/>
      <c r="G202" s="84"/>
      <c r="H202" s="84"/>
      <c r="I202" s="85"/>
    </row>
    <row r="203" spans="1:11" ht="30" customHeight="1">
      <c r="A203" s="28">
        <f t="shared" si="11"/>
        <v>198</v>
      </c>
      <c r="B203" s="31"/>
      <c r="C203" s="32" t="s">
        <v>106</v>
      </c>
      <c r="D203" s="33" t="s">
        <v>139</v>
      </c>
      <c r="E203" s="42">
        <f>3.5*4</f>
        <v>14</v>
      </c>
      <c r="F203" s="83"/>
      <c r="G203" s="84"/>
      <c r="H203" s="84"/>
      <c r="I203" s="85"/>
    </row>
    <row r="204" spans="1:11" ht="30" customHeight="1">
      <c r="A204" s="28">
        <f t="shared" si="11"/>
        <v>199</v>
      </c>
      <c r="B204" s="31"/>
      <c r="C204" s="32" t="s">
        <v>107</v>
      </c>
      <c r="D204" s="33" t="s">
        <v>139</v>
      </c>
      <c r="E204" s="42">
        <f>4*5</f>
        <v>20</v>
      </c>
      <c r="F204" s="83"/>
      <c r="G204" s="84"/>
      <c r="H204" s="84"/>
      <c r="I204" s="85"/>
    </row>
    <row r="205" spans="1:11" ht="30" customHeight="1">
      <c r="A205" s="28">
        <f t="shared" si="11"/>
        <v>200</v>
      </c>
      <c r="B205" s="31"/>
      <c r="C205" s="32" t="s">
        <v>103</v>
      </c>
      <c r="D205" s="33" t="s">
        <v>139</v>
      </c>
      <c r="E205" s="42">
        <f>4*11</f>
        <v>44</v>
      </c>
      <c r="F205" s="83"/>
      <c r="G205" s="84"/>
      <c r="H205" s="84"/>
      <c r="I205" s="85"/>
    </row>
    <row r="206" spans="1:11" ht="30" customHeight="1">
      <c r="A206" s="28">
        <f t="shared" si="11"/>
        <v>201</v>
      </c>
      <c r="B206" s="31"/>
      <c r="C206" s="32" t="s">
        <v>104</v>
      </c>
      <c r="D206" s="33" t="s">
        <v>139</v>
      </c>
      <c r="E206" s="42">
        <f>5*4</f>
        <v>20</v>
      </c>
      <c r="F206" s="86"/>
      <c r="G206" s="87"/>
      <c r="H206" s="87"/>
      <c r="I206" s="88"/>
    </row>
    <row r="207" spans="1:11" ht="30" customHeight="1">
      <c r="A207" s="28">
        <f t="shared" si="11"/>
        <v>202</v>
      </c>
      <c r="B207" s="11" t="s">
        <v>45</v>
      </c>
      <c r="C207" s="110" t="s">
        <v>46</v>
      </c>
      <c r="D207" s="111"/>
      <c r="E207" s="111"/>
      <c r="F207" s="5" t="s">
        <v>135</v>
      </c>
      <c r="G207" s="60" t="s">
        <v>135</v>
      </c>
      <c r="H207" s="6"/>
      <c r="I207" s="63">
        <f>I209+I219</f>
        <v>0</v>
      </c>
    </row>
    <row r="208" spans="1:11" ht="30" customHeight="1">
      <c r="A208" s="28">
        <f t="shared" si="11"/>
        <v>203</v>
      </c>
      <c r="B208" s="3" t="s">
        <v>47</v>
      </c>
      <c r="C208" s="95" t="s">
        <v>48</v>
      </c>
      <c r="D208" s="96"/>
      <c r="E208" s="96"/>
      <c r="F208" s="2" t="s">
        <v>135</v>
      </c>
      <c r="G208" s="38" t="s">
        <v>135</v>
      </c>
      <c r="H208" s="3" t="s">
        <v>135</v>
      </c>
      <c r="I208" s="4" t="s">
        <v>135</v>
      </c>
    </row>
    <row r="209" spans="1:9" ht="30" customHeight="1">
      <c r="A209" s="28">
        <f t="shared" si="11"/>
        <v>204</v>
      </c>
      <c r="B209" s="24"/>
      <c r="C209" s="114" t="s">
        <v>97</v>
      </c>
      <c r="D209" s="115"/>
      <c r="E209" s="115"/>
      <c r="F209" s="28" t="s">
        <v>139</v>
      </c>
      <c r="G209" s="59">
        <f>SUM(E210:E218)</f>
        <v>25004.6</v>
      </c>
      <c r="H209" s="24"/>
      <c r="I209" s="4">
        <f t="shared" ref="I209" si="13">G209*H209</f>
        <v>0</v>
      </c>
    </row>
    <row r="210" spans="1:9" ht="30" customHeight="1">
      <c r="A210" s="28">
        <f t="shared" si="11"/>
        <v>205</v>
      </c>
      <c r="B210" s="31"/>
      <c r="C210" s="32" t="s">
        <v>144</v>
      </c>
      <c r="D210" s="33" t="s">
        <v>139</v>
      </c>
      <c r="E210" s="42">
        <v>8958.4699999999993</v>
      </c>
      <c r="F210" s="80"/>
      <c r="G210" s="81"/>
      <c r="H210" s="81"/>
      <c r="I210" s="82"/>
    </row>
    <row r="211" spans="1:9" ht="30" customHeight="1">
      <c r="A211" s="28">
        <f t="shared" si="11"/>
        <v>206</v>
      </c>
      <c r="B211" s="31"/>
      <c r="C211" s="32" t="s">
        <v>143</v>
      </c>
      <c r="D211" s="33" t="s">
        <v>139</v>
      </c>
      <c r="E211" s="42">
        <v>7103.73</v>
      </c>
      <c r="F211" s="83"/>
      <c r="G211" s="84"/>
      <c r="H211" s="84"/>
      <c r="I211" s="85"/>
    </row>
    <row r="212" spans="1:9" ht="30" customHeight="1">
      <c r="A212" s="28">
        <f t="shared" si="11"/>
        <v>207</v>
      </c>
      <c r="B212" s="31"/>
      <c r="C212" s="32" t="s">
        <v>145</v>
      </c>
      <c r="D212" s="33" t="s">
        <v>139</v>
      </c>
      <c r="E212" s="42">
        <v>903.1</v>
      </c>
      <c r="F212" s="83"/>
      <c r="G212" s="84"/>
      <c r="H212" s="84"/>
      <c r="I212" s="85"/>
    </row>
    <row r="213" spans="1:9" ht="30" customHeight="1">
      <c r="A213" s="28">
        <f t="shared" si="11"/>
        <v>208</v>
      </c>
      <c r="B213" s="31"/>
      <c r="C213" s="32" t="s">
        <v>146</v>
      </c>
      <c r="D213" s="33" t="s">
        <v>139</v>
      </c>
      <c r="E213" s="42">
        <v>343.52</v>
      </c>
      <c r="F213" s="83"/>
      <c r="G213" s="84"/>
      <c r="H213" s="84"/>
      <c r="I213" s="85"/>
    </row>
    <row r="214" spans="1:9" ht="30" customHeight="1">
      <c r="A214" s="28">
        <f t="shared" si="11"/>
        <v>209</v>
      </c>
      <c r="B214" s="31"/>
      <c r="C214" s="32" t="s">
        <v>147</v>
      </c>
      <c r="D214" s="33" t="s">
        <v>139</v>
      </c>
      <c r="E214" s="42">
        <v>121.59</v>
      </c>
      <c r="F214" s="83"/>
      <c r="G214" s="84"/>
      <c r="H214" s="84"/>
      <c r="I214" s="85"/>
    </row>
    <row r="215" spans="1:9" ht="30" customHeight="1">
      <c r="A215" s="28">
        <f t="shared" si="11"/>
        <v>210</v>
      </c>
      <c r="B215" s="31"/>
      <c r="C215" s="32" t="s">
        <v>100</v>
      </c>
      <c r="D215" s="33" t="s">
        <v>139</v>
      </c>
      <c r="E215" s="42">
        <v>1441.73</v>
      </c>
      <c r="F215" s="83"/>
      <c r="G215" s="84"/>
      <c r="H215" s="84"/>
      <c r="I215" s="85"/>
    </row>
    <row r="216" spans="1:9" ht="30" customHeight="1">
      <c r="A216" s="28">
        <f t="shared" si="11"/>
        <v>211</v>
      </c>
      <c r="B216" s="31"/>
      <c r="C216" s="32" t="s">
        <v>108</v>
      </c>
      <c r="D216" s="33" t="s">
        <v>139</v>
      </c>
      <c r="E216" s="42">
        <v>4812.4799999999996</v>
      </c>
      <c r="F216" s="83"/>
      <c r="G216" s="84"/>
      <c r="H216" s="84"/>
      <c r="I216" s="85"/>
    </row>
    <row r="217" spans="1:9" ht="30" customHeight="1">
      <c r="A217" s="28">
        <f t="shared" si="11"/>
        <v>212</v>
      </c>
      <c r="B217" s="31"/>
      <c r="C217" s="32" t="s">
        <v>107</v>
      </c>
      <c r="D217" s="33" t="s">
        <v>139</v>
      </c>
      <c r="E217" s="42">
        <v>714.7</v>
      </c>
      <c r="F217" s="83"/>
      <c r="G217" s="84"/>
      <c r="H217" s="84"/>
      <c r="I217" s="85"/>
    </row>
    <row r="218" spans="1:9" ht="30" customHeight="1">
      <c r="A218" s="28">
        <f t="shared" si="11"/>
        <v>213</v>
      </c>
      <c r="B218" s="31"/>
      <c r="C218" s="32" t="s">
        <v>106</v>
      </c>
      <c r="D218" s="33" t="s">
        <v>139</v>
      </c>
      <c r="E218" s="42">
        <v>605.28</v>
      </c>
      <c r="F218" s="86"/>
      <c r="G218" s="87"/>
      <c r="H218" s="87"/>
      <c r="I218" s="88"/>
    </row>
    <row r="219" spans="1:9" ht="30" customHeight="1">
      <c r="A219" s="28">
        <f t="shared" si="11"/>
        <v>214</v>
      </c>
      <c r="B219" s="3"/>
      <c r="C219" s="99" t="s">
        <v>96</v>
      </c>
      <c r="D219" s="100"/>
      <c r="E219" s="100"/>
      <c r="F219" s="2" t="s">
        <v>139</v>
      </c>
      <c r="G219" s="38">
        <f>G209</f>
        <v>25004.6</v>
      </c>
      <c r="H219" s="3"/>
      <c r="I219" s="4">
        <f t="shared" ref="I219" si="14">G219*H219</f>
        <v>0</v>
      </c>
    </row>
    <row r="220" spans="1:9" ht="30" customHeight="1">
      <c r="A220" s="28">
        <f t="shared" si="11"/>
        <v>215</v>
      </c>
      <c r="B220" s="6" t="s">
        <v>49</v>
      </c>
      <c r="C220" s="130" t="s">
        <v>65</v>
      </c>
      <c r="D220" s="131"/>
      <c r="E220" s="131"/>
      <c r="F220" s="5" t="s">
        <v>135</v>
      </c>
      <c r="G220" s="60" t="s">
        <v>135</v>
      </c>
      <c r="H220" s="6" t="s">
        <v>135</v>
      </c>
      <c r="I220" s="63">
        <f>I223+I233+I242+I252+I256+I261+SUM(I264:I268)+I270+I275+I278</f>
        <v>0</v>
      </c>
    </row>
    <row r="221" spans="1:9" ht="30" customHeight="1">
      <c r="A221" s="28">
        <f t="shared" si="11"/>
        <v>216</v>
      </c>
      <c r="B221" s="3" t="s">
        <v>50</v>
      </c>
      <c r="C221" s="99" t="s">
        <v>51</v>
      </c>
      <c r="D221" s="100"/>
      <c r="E221" s="100"/>
      <c r="F221" s="2" t="s">
        <v>135</v>
      </c>
      <c r="G221" s="38" t="s">
        <v>135</v>
      </c>
      <c r="H221" s="3" t="s">
        <v>135</v>
      </c>
      <c r="I221" s="4" t="s">
        <v>135</v>
      </c>
    </row>
    <row r="222" spans="1:9" ht="30" customHeight="1">
      <c r="A222" s="28">
        <f t="shared" si="11"/>
        <v>217</v>
      </c>
      <c r="B222" s="3"/>
      <c r="C222" s="99" t="s">
        <v>66</v>
      </c>
      <c r="D222" s="100"/>
      <c r="E222" s="100"/>
      <c r="F222" s="2" t="s">
        <v>135</v>
      </c>
      <c r="G222" s="38" t="s">
        <v>135</v>
      </c>
      <c r="H222" s="3" t="s">
        <v>135</v>
      </c>
      <c r="I222" s="4" t="s">
        <v>135</v>
      </c>
    </row>
    <row r="223" spans="1:9" ht="30" customHeight="1">
      <c r="A223" s="28">
        <f t="shared" si="11"/>
        <v>218</v>
      </c>
      <c r="B223" s="3"/>
      <c r="C223" s="97" t="s">
        <v>67</v>
      </c>
      <c r="D223" s="98"/>
      <c r="E223" s="98"/>
      <c r="F223" s="2" t="s">
        <v>139</v>
      </c>
      <c r="G223" s="38">
        <f>SUM(E224:E232)</f>
        <v>296.75</v>
      </c>
      <c r="H223" s="3"/>
      <c r="I223" s="4">
        <f t="shared" ref="I223" si="15">G223*H223</f>
        <v>0</v>
      </c>
    </row>
    <row r="224" spans="1:9" ht="30" customHeight="1">
      <c r="A224" s="28">
        <f t="shared" si="11"/>
        <v>219</v>
      </c>
      <c r="B224" s="31"/>
      <c r="C224" s="32" t="s">
        <v>144</v>
      </c>
      <c r="D224" s="33" t="s">
        <v>139</v>
      </c>
      <c r="E224" s="42">
        <v>50.64</v>
      </c>
      <c r="F224" s="80"/>
      <c r="G224" s="81"/>
      <c r="H224" s="81"/>
      <c r="I224" s="82"/>
    </row>
    <row r="225" spans="1:9" ht="30" customHeight="1">
      <c r="A225" s="28">
        <f t="shared" si="11"/>
        <v>220</v>
      </c>
      <c r="B225" s="31"/>
      <c r="C225" s="32" t="s">
        <v>143</v>
      </c>
      <c r="D225" s="33" t="s">
        <v>139</v>
      </c>
      <c r="E225" s="42">
        <v>33.840000000000003</v>
      </c>
      <c r="F225" s="83"/>
      <c r="G225" s="84"/>
      <c r="H225" s="84"/>
      <c r="I225" s="85"/>
    </row>
    <row r="226" spans="1:9" ht="30" customHeight="1">
      <c r="A226" s="28">
        <f t="shared" si="11"/>
        <v>221</v>
      </c>
      <c r="B226" s="31"/>
      <c r="C226" s="32" t="s">
        <v>145</v>
      </c>
      <c r="D226" s="33" t="s">
        <v>139</v>
      </c>
      <c r="E226" s="42">
        <v>74.3</v>
      </c>
      <c r="F226" s="83"/>
      <c r="G226" s="84"/>
      <c r="H226" s="84"/>
      <c r="I226" s="85"/>
    </row>
    <row r="227" spans="1:9" ht="30" customHeight="1">
      <c r="A227" s="28">
        <f t="shared" si="11"/>
        <v>222</v>
      </c>
      <c r="B227" s="31"/>
      <c r="C227" s="32" t="s">
        <v>146</v>
      </c>
      <c r="D227" s="33" t="s">
        <v>139</v>
      </c>
      <c r="E227" s="42">
        <v>22.82</v>
      </c>
      <c r="F227" s="83"/>
      <c r="G227" s="84"/>
      <c r="H227" s="84"/>
      <c r="I227" s="85"/>
    </row>
    <row r="228" spans="1:9" ht="30" customHeight="1">
      <c r="A228" s="28">
        <f t="shared" si="11"/>
        <v>223</v>
      </c>
      <c r="B228" s="31"/>
      <c r="C228" s="32" t="s">
        <v>147</v>
      </c>
      <c r="D228" s="33" t="s">
        <v>139</v>
      </c>
      <c r="E228" s="42">
        <v>8.3000000000000007</v>
      </c>
      <c r="F228" s="83"/>
      <c r="G228" s="84"/>
      <c r="H228" s="84"/>
      <c r="I228" s="85"/>
    </row>
    <row r="229" spans="1:9" ht="30" customHeight="1">
      <c r="A229" s="28">
        <f t="shared" si="11"/>
        <v>224</v>
      </c>
      <c r="B229" s="31"/>
      <c r="C229" s="32" t="s">
        <v>100</v>
      </c>
      <c r="D229" s="33" t="s">
        <v>139</v>
      </c>
      <c r="E229" s="42">
        <v>34.99</v>
      </c>
      <c r="F229" s="83"/>
      <c r="G229" s="84"/>
      <c r="H229" s="84"/>
      <c r="I229" s="85"/>
    </row>
    <row r="230" spans="1:9" ht="30" customHeight="1">
      <c r="A230" s="28">
        <f t="shared" si="11"/>
        <v>225</v>
      </c>
      <c r="B230" s="31"/>
      <c r="C230" s="32" t="s">
        <v>108</v>
      </c>
      <c r="D230" s="33" t="s">
        <v>139</v>
      </c>
      <c r="E230" s="42">
        <v>46.8</v>
      </c>
      <c r="F230" s="83"/>
      <c r="G230" s="84"/>
      <c r="H230" s="84"/>
      <c r="I230" s="85"/>
    </row>
    <row r="231" spans="1:9" ht="30" customHeight="1">
      <c r="A231" s="28">
        <f t="shared" si="11"/>
        <v>226</v>
      </c>
      <c r="B231" s="31"/>
      <c r="C231" s="32" t="s">
        <v>105</v>
      </c>
      <c r="D231" s="33" t="s">
        <v>139</v>
      </c>
      <c r="E231" s="42">
        <v>21.46</v>
      </c>
      <c r="F231" s="83"/>
      <c r="G231" s="84"/>
      <c r="H231" s="84"/>
      <c r="I231" s="85"/>
    </row>
    <row r="232" spans="1:9" ht="30" customHeight="1">
      <c r="A232" s="28">
        <f t="shared" si="11"/>
        <v>227</v>
      </c>
      <c r="B232" s="31"/>
      <c r="C232" s="32" t="s">
        <v>104</v>
      </c>
      <c r="D232" s="33" t="s">
        <v>139</v>
      </c>
      <c r="E232" s="42">
        <v>3.6</v>
      </c>
      <c r="F232" s="86"/>
      <c r="G232" s="87"/>
      <c r="H232" s="87"/>
      <c r="I232" s="88"/>
    </row>
    <row r="233" spans="1:9" ht="30" customHeight="1">
      <c r="A233" s="28">
        <f t="shared" si="11"/>
        <v>228</v>
      </c>
      <c r="B233" s="3"/>
      <c r="C233" s="97" t="s">
        <v>68</v>
      </c>
      <c r="D233" s="98"/>
      <c r="E233" s="98"/>
      <c r="F233" s="2" t="s">
        <v>139</v>
      </c>
      <c r="G233" s="38">
        <f>SUM(E234:E241)</f>
        <v>195.18</v>
      </c>
      <c r="H233" s="3"/>
      <c r="I233" s="4">
        <f t="shared" ref="I233" si="16">G233*H233</f>
        <v>0</v>
      </c>
    </row>
    <row r="234" spans="1:9" ht="30" customHeight="1">
      <c r="A234" s="28">
        <f t="shared" si="11"/>
        <v>229</v>
      </c>
      <c r="B234" s="31"/>
      <c r="C234" s="32" t="s">
        <v>144</v>
      </c>
      <c r="D234" s="33" t="s">
        <v>139</v>
      </c>
      <c r="E234" s="42">
        <v>77.64</v>
      </c>
      <c r="F234" s="80"/>
      <c r="G234" s="81"/>
      <c r="H234" s="81"/>
      <c r="I234" s="82"/>
    </row>
    <row r="235" spans="1:9" ht="30" customHeight="1">
      <c r="A235" s="28">
        <f t="shared" si="11"/>
        <v>230</v>
      </c>
      <c r="B235" s="31"/>
      <c r="C235" s="32" t="s">
        <v>143</v>
      </c>
      <c r="D235" s="33" t="s">
        <v>139</v>
      </c>
      <c r="E235" s="42">
        <v>74.540000000000006</v>
      </c>
      <c r="F235" s="83"/>
      <c r="G235" s="84"/>
      <c r="H235" s="84"/>
      <c r="I235" s="85"/>
    </row>
    <row r="236" spans="1:9" ht="30" customHeight="1">
      <c r="A236" s="28">
        <f t="shared" si="11"/>
        <v>231</v>
      </c>
      <c r="B236" s="31"/>
      <c r="C236" s="32" t="s">
        <v>145</v>
      </c>
      <c r="D236" s="33" t="s">
        <v>139</v>
      </c>
      <c r="E236" s="42">
        <v>4.9800000000000004</v>
      </c>
      <c r="F236" s="83"/>
      <c r="G236" s="84"/>
      <c r="H236" s="84"/>
      <c r="I236" s="85"/>
    </row>
    <row r="237" spans="1:9" ht="30" customHeight="1">
      <c r="A237" s="28">
        <f t="shared" si="11"/>
        <v>232</v>
      </c>
      <c r="B237" s="31"/>
      <c r="C237" s="32" t="s">
        <v>146</v>
      </c>
      <c r="D237" s="33" t="s">
        <v>139</v>
      </c>
      <c r="E237" s="42">
        <v>10.130000000000001</v>
      </c>
      <c r="F237" s="83"/>
      <c r="G237" s="84"/>
      <c r="H237" s="84"/>
      <c r="I237" s="85"/>
    </row>
    <row r="238" spans="1:9" ht="30" customHeight="1">
      <c r="A238" s="28">
        <f t="shared" si="11"/>
        <v>233</v>
      </c>
      <c r="B238" s="31"/>
      <c r="C238" s="32" t="s">
        <v>147</v>
      </c>
      <c r="D238" s="33" t="s">
        <v>139</v>
      </c>
      <c r="E238" s="42">
        <v>0.84</v>
      </c>
      <c r="F238" s="83"/>
      <c r="G238" s="84"/>
      <c r="H238" s="84"/>
      <c r="I238" s="85"/>
    </row>
    <row r="239" spans="1:9" ht="30" customHeight="1">
      <c r="A239" s="28">
        <f t="shared" si="11"/>
        <v>234</v>
      </c>
      <c r="B239" s="31"/>
      <c r="C239" s="32" t="s">
        <v>100</v>
      </c>
      <c r="D239" s="33" t="s">
        <v>139</v>
      </c>
      <c r="E239" s="42">
        <v>22.78</v>
      </c>
      <c r="F239" s="83"/>
      <c r="G239" s="84"/>
      <c r="H239" s="84"/>
      <c r="I239" s="85"/>
    </row>
    <row r="240" spans="1:9" ht="30" customHeight="1">
      <c r="A240" s="28">
        <f t="shared" si="11"/>
        <v>235</v>
      </c>
      <c r="B240" s="31"/>
      <c r="C240" s="32" t="s">
        <v>108</v>
      </c>
      <c r="D240" s="33" t="s">
        <v>139</v>
      </c>
      <c r="E240" s="42">
        <v>3.19</v>
      </c>
      <c r="F240" s="83"/>
      <c r="G240" s="84"/>
      <c r="H240" s="84"/>
      <c r="I240" s="85"/>
    </row>
    <row r="241" spans="1:9" ht="30" customHeight="1">
      <c r="A241" s="28">
        <f t="shared" si="11"/>
        <v>236</v>
      </c>
      <c r="B241" s="31"/>
      <c r="C241" s="32" t="s">
        <v>104</v>
      </c>
      <c r="D241" s="33" t="s">
        <v>139</v>
      </c>
      <c r="E241" s="42">
        <v>1.08</v>
      </c>
      <c r="F241" s="86"/>
      <c r="G241" s="87"/>
      <c r="H241" s="87"/>
      <c r="I241" s="88"/>
    </row>
    <row r="242" spans="1:9" ht="30" customHeight="1">
      <c r="A242" s="28">
        <f t="shared" si="11"/>
        <v>237</v>
      </c>
      <c r="B242" s="3"/>
      <c r="C242" s="97" t="s">
        <v>69</v>
      </c>
      <c r="D242" s="98"/>
      <c r="E242" s="98"/>
      <c r="F242" s="2" t="s">
        <v>139</v>
      </c>
      <c r="G242" s="38">
        <f>SUM(E243:E251)</f>
        <v>110.84</v>
      </c>
      <c r="H242" s="3"/>
      <c r="I242" s="4">
        <f t="shared" ref="I242" si="17">G242*H242</f>
        <v>0</v>
      </c>
    </row>
    <row r="243" spans="1:9" ht="30" customHeight="1">
      <c r="A243" s="28">
        <f t="shared" si="11"/>
        <v>238</v>
      </c>
      <c r="B243" s="31"/>
      <c r="C243" s="32" t="s">
        <v>144</v>
      </c>
      <c r="D243" s="33" t="s">
        <v>139</v>
      </c>
      <c r="E243" s="42">
        <v>12.56</v>
      </c>
      <c r="F243" s="80"/>
      <c r="G243" s="81"/>
      <c r="H243" s="81"/>
      <c r="I243" s="82"/>
    </row>
    <row r="244" spans="1:9" ht="30" customHeight="1">
      <c r="A244" s="28">
        <f t="shared" si="11"/>
        <v>239</v>
      </c>
      <c r="B244" s="31"/>
      <c r="C244" s="32" t="s">
        <v>143</v>
      </c>
      <c r="D244" s="33" t="s">
        <v>139</v>
      </c>
      <c r="E244" s="42">
        <v>13.95</v>
      </c>
      <c r="F244" s="83"/>
      <c r="G244" s="84"/>
      <c r="H244" s="84"/>
      <c r="I244" s="85"/>
    </row>
    <row r="245" spans="1:9" ht="30" customHeight="1">
      <c r="A245" s="28">
        <f t="shared" si="11"/>
        <v>240</v>
      </c>
      <c r="B245" s="31"/>
      <c r="C245" s="32" t="s">
        <v>145</v>
      </c>
      <c r="D245" s="33" t="s">
        <v>139</v>
      </c>
      <c r="E245" s="42">
        <v>27.46</v>
      </c>
      <c r="F245" s="83"/>
      <c r="G245" s="84"/>
      <c r="H245" s="84"/>
      <c r="I245" s="85"/>
    </row>
    <row r="246" spans="1:9" ht="30" customHeight="1">
      <c r="A246" s="28">
        <f t="shared" si="11"/>
        <v>241</v>
      </c>
      <c r="B246" s="31"/>
      <c r="C246" s="32" t="s">
        <v>146</v>
      </c>
      <c r="D246" s="33" t="s">
        <v>139</v>
      </c>
      <c r="E246" s="42">
        <v>5.97</v>
      </c>
      <c r="F246" s="83"/>
      <c r="G246" s="84"/>
      <c r="H246" s="84"/>
      <c r="I246" s="85"/>
    </row>
    <row r="247" spans="1:9" ht="30" customHeight="1">
      <c r="A247" s="28">
        <f t="shared" si="11"/>
        <v>242</v>
      </c>
      <c r="B247" s="31"/>
      <c r="C247" s="32" t="s">
        <v>147</v>
      </c>
      <c r="D247" s="33" t="s">
        <v>139</v>
      </c>
      <c r="E247" s="42">
        <v>8.4600000000000009</v>
      </c>
      <c r="F247" s="83"/>
      <c r="G247" s="84"/>
      <c r="H247" s="84"/>
      <c r="I247" s="85"/>
    </row>
    <row r="248" spans="1:9" ht="30" customHeight="1">
      <c r="A248" s="28">
        <f t="shared" si="11"/>
        <v>243</v>
      </c>
      <c r="B248" s="31"/>
      <c r="C248" s="32" t="s">
        <v>100</v>
      </c>
      <c r="D248" s="33" t="s">
        <v>139</v>
      </c>
      <c r="E248" s="42">
        <v>5.01</v>
      </c>
      <c r="F248" s="83"/>
      <c r="G248" s="84"/>
      <c r="H248" s="84"/>
      <c r="I248" s="85"/>
    </row>
    <row r="249" spans="1:9" ht="30" customHeight="1">
      <c r="A249" s="28">
        <f t="shared" si="11"/>
        <v>244</v>
      </c>
      <c r="B249" s="31"/>
      <c r="C249" s="32" t="s">
        <v>108</v>
      </c>
      <c r="D249" s="33" t="s">
        <v>139</v>
      </c>
      <c r="E249" s="42">
        <v>14.05</v>
      </c>
      <c r="F249" s="83"/>
      <c r="G249" s="84"/>
      <c r="H249" s="84"/>
      <c r="I249" s="85"/>
    </row>
    <row r="250" spans="1:9" ht="30" customHeight="1">
      <c r="A250" s="28">
        <f t="shared" si="11"/>
        <v>245</v>
      </c>
      <c r="B250" s="31"/>
      <c r="C250" s="32" t="s">
        <v>105</v>
      </c>
      <c r="D250" s="33" t="s">
        <v>139</v>
      </c>
      <c r="E250" s="42">
        <v>15.29</v>
      </c>
      <c r="F250" s="83"/>
      <c r="G250" s="84"/>
      <c r="H250" s="84"/>
      <c r="I250" s="85"/>
    </row>
    <row r="251" spans="1:9" ht="30" customHeight="1">
      <c r="A251" s="28">
        <f t="shared" si="11"/>
        <v>246</v>
      </c>
      <c r="B251" s="31"/>
      <c r="C251" s="32" t="s">
        <v>104</v>
      </c>
      <c r="D251" s="33" t="s">
        <v>139</v>
      </c>
      <c r="E251" s="42">
        <v>8.09</v>
      </c>
      <c r="F251" s="86"/>
      <c r="G251" s="87"/>
      <c r="H251" s="87"/>
      <c r="I251" s="88"/>
    </row>
    <row r="252" spans="1:9" ht="30" customHeight="1">
      <c r="A252" s="28">
        <f t="shared" si="11"/>
        <v>247</v>
      </c>
      <c r="B252" s="3"/>
      <c r="C252" s="97" t="s">
        <v>70</v>
      </c>
      <c r="D252" s="98"/>
      <c r="E252" s="98"/>
      <c r="F252" s="2" t="s">
        <v>139</v>
      </c>
      <c r="G252" s="38">
        <f>SUM(E253:E254)</f>
        <v>41.71</v>
      </c>
      <c r="H252" s="3"/>
      <c r="I252" s="4">
        <f t="shared" ref="I252" si="18">G252*H252</f>
        <v>0</v>
      </c>
    </row>
    <row r="253" spans="1:9" ht="30" customHeight="1">
      <c r="A253" s="28">
        <f t="shared" si="11"/>
        <v>248</v>
      </c>
      <c r="B253" s="31"/>
      <c r="C253" s="32" t="s">
        <v>143</v>
      </c>
      <c r="D253" s="33" t="s">
        <v>139</v>
      </c>
      <c r="E253" s="42">
        <v>33.1</v>
      </c>
      <c r="F253" s="80"/>
      <c r="G253" s="81"/>
      <c r="H253" s="81"/>
      <c r="I253" s="82"/>
    </row>
    <row r="254" spans="1:9" ht="30" customHeight="1">
      <c r="A254" s="28">
        <f t="shared" si="11"/>
        <v>249</v>
      </c>
      <c r="B254" s="31"/>
      <c r="C254" s="32" t="s">
        <v>145</v>
      </c>
      <c r="D254" s="33" t="s">
        <v>139</v>
      </c>
      <c r="E254" s="42">
        <v>8.61</v>
      </c>
      <c r="F254" s="86"/>
      <c r="G254" s="87"/>
      <c r="H254" s="87"/>
      <c r="I254" s="88"/>
    </row>
    <row r="255" spans="1:9" ht="30" customHeight="1">
      <c r="A255" s="28">
        <f t="shared" si="11"/>
        <v>250</v>
      </c>
      <c r="B255" s="17" t="s">
        <v>52</v>
      </c>
      <c r="C255" s="95" t="s">
        <v>53</v>
      </c>
      <c r="D255" s="96"/>
      <c r="E255" s="96"/>
      <c r="F255" s="2" t="s">
        <v>135</v>
      </c>
      <c r="G255" s="38" t="s">
        <v>135</v>
      </c>
      <c r="H255" s="3" t="s">
        <v>135</v>
      </c>
      <c r="I255" s="4" t="s">
        <v>135</v>
      </c>
    </row>
    <row r="256" spans="1:9" ht="30" customHeight="1">
      <c r="A256" s="28">
        <f t="shared" si="11"/>
        <v>251</v>
      </c>
      <c r="B256" s="3"/>
      <c r="C256" s="97" t="s">
        <v>71</v>
      </c>
      <c r="D256" s="98"/>
      <c r="E256" s="98"/>
      <c r="F256" s="2" t="s">
        <v>138</v>
      </c>
      <c r="G256" s="38">
        <f>SUM(E257:E260)</f>
        <v>71</v>
      </c>
      <c r="H256" s="3"/>
      <c r="I256" s="4">
        <f t="shared" ref="I256" si="19">G256*H256</f>
        <v>0</v>
      </c>
    </row>
    <row r="257" spans="1:9" ht="30" customHeight="1">
      <c r="A257" s="28">
        <f t="shared" si="11"/>
        <v>252</v>
      </c>
      <c r="B257" s="31"/>
      <c r="C257" s="32" t="s">
        <v>149</v>
      </c>
      <c r="D257" s="33" t="s">
        <v>138</v>
      </c>
      <c r="E257" s="42">
        <f>2+2+1+5+7+1</f>
        <v>18</v>
      </c>
      <c r="F257" s="80"/>
      <c r="G257" s="81"/>
      <c r="H257" s="81"/>
      <c r="I257" s="82"/>
    </row>
    <row r="258" spans="1:9" ht="30" customHeight="1">
      <c r="A258" s="28">
        <f t="shared" si="11"/>
        <v>253</v>
      </c>
      <c r="B258" s="31"/>
      <c r="C258" s="32" t="s">
        <v>150</v>
      </c>
      <c r="D258" s="33" t="s">
        <v>138</v>
      </c>
      <c r="E258" s="42">
        <f>1</f>
        <v>1</v>
      </c>
      <c r="F258" s="83"/>
      <c r="G258" s="84"/>
      <c r="H258" s="84"/>
      <c r="I258" s="85"/>
    </row>
    <row r="259" spans="1:9" ht="30" customHeight="1">
      <c r="A259" s="28">
        <f t="shared" si="11"/>
        <v>254</v>
      </c>
      <c r="B259" s="31"/>
      <c r="C259" s="32" t="s">
        <v>151</v>
      </c>
      <c r="D259" s="33" t="s">
        <v>138</v>
      </c>
      <c r="E259" s="42">
        <f>2+4+3</f>
        <v>9</v>
      </c>
      <c r="F259" s="83"/>
      <c r="G259" s="84"/>
      <c r="H259" s="84"/>
      <c r="I259" s="85"/>
    </row>
    <row r="260" spans="1:9" ht="30" customHeight="1">
      <c r="A260" s="28">
        <f t="shared" si="11"/>
        <v>255</v>
      </c>
      <c r="B260" s="31"/>
      <c r="C260" s="32" t="s">
        <v>152</v>
      </c>
      <c r="D260" s="33" t="s">
        <v>138</v>
      </c>
      <c r="E260" s="42">
        <f>2+1+6+6+2+2+2+6+5+8+3</f>
        <v>43</v>
      </c>
      <c r="F260" s="86"/>
      <c r="G260" s="87"/>
      <c r="H260" s="87"/>
      <c r="I260" s="88"/>
    </row>
    <row r="261" spans="1:9" ht="30" customHeight="1">
      <c r="A261" s="28">
        <f t="shared" si="11"/>
        <v>256</v>
      </c>
      <c r="B261" s="3"/>
      <c r="C261" s="97" t="s">
        <v>72</v>
      </c>
      <c r="D261" s="98"/>
      <c r="E261" s="98"/>
      <c r="F261" s="2" t="s">
        <v>138</v>
      </c>
      <c r="G261" s="38">
        <f>E262+E263</f>
        <v>10</v>
      </c>
      <c r="H261" s="3"/>
      <c r="I261" s="4">
        <f t="shared" ref="I261" si="20">G261*H261</f>
        <v>0</v>
      </c>
    </row>
    <row r="262" spans="1:9" ht="30" customHeight="1">
      <c r="A262" s="28">
        <f t="shared" si="11"/>
        <v>257</v>
      </c>
      <c r="B262" s="31"/>
      <c r="C262" s="32" t="s">
        <v>149</v>
      </c>
      <c r="D262" s="33" t="s">
        <v>138</v>
      </c>
      <c r="E262" s="42">
        <f>1+1+1+1+1+1</f>
        <v>6</v>
      </c>
      <c r="F262" s="80"/>
      <c r="G262" s="81"/>
      <c r="H262" s="81"/>
      <c r="I262" s="82"/>
    </row>
    <row r="263" spans="1:9" ht="30" customHeight="1">
      <c r="A263" s="28">
        <f t="shared" si="11"/>
        <v>258</v>
      </c>
      <c r="B263" s="31"/>
      <c r="C263" s="32" t="s">
        <v>150</v>
      </c>
      <c r="D263" s="33" t="s">
        <v>138</v>
      </c>
      <c r="E263" s="42">
        <f>4</f>
        <v>4</v>
      </c>
      <c r="F263" s="86"/>
      <c r="G263" s="87"/>
      <c r="H263" s="87"/>
      <c r="I263" s="88"/>
    </row>
    <row r="264" spans="1:9" ht="30" customHeight="1">
      <c r="A264" s="28">
        <f t="shared" ref="A264:A327" si="21">A263+1</f>
        <v>259</v>
      </c>
      <c r="B264" s="3"/>
      <c r="C264" s="99" t="s">
        <v>73</v>
      </c>
      <c r="D264" s="100"/>
      <c r="E264" s="100"/>
      <c r="F264" s="2" t="s">
        <v>138</v>
      </c>
      <c r="G264" s="62">
        <f>2</f>
        <v>2</v>
      </c>
      <c r="H264" s="3"/>
      <c r="I264" s="4">
        <f t="shared" ref="I264:I270" si="22">G264*H264</f>
        <v>0</v>
      </c>
    </row>
    <row r="265" spans="1:9" ht="30" customHeight="1">
      <c r="A265" s="28">
        <f t="shared" si="21"/>
        <v>260</v>
      </c>
      <c r="B265" s="3"/>
      <c r="C265" s="99" t="s">
        <v>74</v>
      </c>
      <c r="D265" s="100"/>
      <c r="E265" s="100"/>
      <c r="F265" s="2" t="s">
        <v>138</v>
      </c>
      <c r="G265" s="62">
        <v>1</v>
      </c>
      <c r="H265" s="3"/>
      <c r="I265" s="4">
        <f t="shared" si="22"/>
        <v>0</v>
      </c>
    </row>
    <row r="266" spans="1:9" ht="30" customHeight="1">
      <c r="A266" s="28">
        <f t="shared" si="21"/>
        <v>261</v>
      </c>
      <c r="B266" s="3"/>
      <c r="C266" s="99" t="s">
        <v>75</v>
      </c>
      <c r="D266" s="100"/>
      <c r="E266" s="100"/>
      <c r="F266" s="2" t="s">
        <v>138</v>
      </c>
      <c r="G266" s="62">
        <v>1</v>
      </c>
      <c r="H266" s="3"/>
      <c r="I266" s="4">
        <f t="shared" si="22"/>
        <v>0</v>
      </c>
    </row>
    <row r="267" spans="1:9" ht="30" customHeight="1">
      <c r="A267" s="28">
        <f t="shared" si="21"/>
        <v>262</v>
      </c>
      <c r="B267" s="3"/>
      <c r="C267" s="99" t="s">
        <v>76</v>
      </c>
      <c r="D267" s="100"/>
      <c r="E267" s="100"/>
      <c r="F267" s="2" t="s">
        <v>138</v>
      </c>
      <c r="G267" s="62">
        <f>4</f>
        <v>4</v>
      </c>
      <c r="H267" s="3"/>
      <c r="I267" s="4">
        <f t="shared" si="22"/>
        <v>0</v>
      </c>
    </row>
    <row r="268" spans="1:9" ht="30" customHeight="1">
      <c r="A268" s="28">
        <f t="shared" si="21"/>
        <v>263</v>
      </c>
      <c r="B268" s="3"/>
      <c r="C268" s="99" t="s">
        <v>77</v>
      </c>
      <c r="D268" s="100"/>
      <c r="E268" s="100"/>
      <c r="F268" s="2" t="s">
        <v>138</v>
      </c>
      <c r="G268" s="62">
        <v>1</v>
      </c>
      <c r="H268" s="3"/>
      <c r="I268" s="4">
        <f t="shared" si="22"/>
        <v>0</v>
      </c>
    </row>
    <row r="269" spans="1:9" ht="30" customHeight="1">
      <c r="A269" s="28">
        <f t="shared" si="21"/>
        <v>264</v>
      </c>
      <c r="B269" s="3" t="s">
        <v>54</v>
      </c>
      <c r="C269" s="99" t="s">
        <v>55</v>
      </c>
      <c r="D269" s="100"/>
      <c r="E269" s="100"/>
      <c r="F269" s="2" t="s">
        <v>135</v>
      </c>
      <c r="G269" s="38" t="s">
        <v>135</v>
      </c>
      <c r="H269" s="3" t="s">
        <v>135</v>
      </c>
      <c r="I269" s="4" t="s">
        <v>135</v>
      </c>
    </row>
    <row r="270" spans="1:9" ht="30" customHeight="1">
      <c r="A270" s="28">
        <f t="shared" si="21"/>
        <v>265</v>
      </c>
      <c r="B270" s="3"/>
      <c r="C270" s="124" t="s">
        <v>156</v>
      </c>
      <c r="D270" s="124"/>
      <c r="E270" s="99"/>
      <c r="F270" s="2" t="s">
        <v>137</v>
      </c>
      <c r="G270" s="38">
        <f>SUM(E271:E274)</f>
        <v>574</v>
      </c>
      <c r="H270" s="3"/>
      <c r="I270" s="4">
        <f t="shared" si="22"/>
        <v>0</v>
      </c>
    </row>
    <row r="271" spans="1:9" ht="30" customHeight="1">
      <c r="A271" s="28">
        <f t="shared" si="21"/>
        <v>266</v>
      </c>
      <c r="B271" s="31"/>
      <c r="C271" s="39" t="s">
        <v>108</v>
      </c>
      <c r="D271" s="40" t="s">
        <v>137</v>
      </c>
      <c r="E271" s="53">
        <f>28+28+44+20</f>
        <v>120</v>
      </c>
      <c r="F271" s="80"/>
      <c r="G271" s="81"/>
      <c r="H271" s="81"/>
      <c r="I271" s="82"/>
    </row>
    <row r="272" spans="1:9" ht="30" customHeight="1">
      <c r="A272" s="28">
        <f t="shared" si="21"/>
        <v>267</v>
      </c>
      <c r="B272" s="31"/>
      <c r="C272" s="39" t="s">
        <v>100</v>
      </c>
      <c r="D272" s="40" t="s">
        <v>137</v>
      </c>
      <c r="E272" s="53">
        <f>6+10+12</f>
        <v>28</v>
      </c>
      <c r="F272" s="83"/>
      <c r="G272" s="84"/>
      <c r="H272" s="84"/>
      <c r="I272" s="85"/>
    </row>
    <row r="273" spans="1:11" ht="30" customHeight="1">
      <c r="A273" s="28">
        <f t="shared" si="21"/>
        <v>268</v>
      </c>
      <c r="B273" s="31"/>
      <c r="C273" s="39" t="s">
        <v>143</v>
      </c>
      <c r="D273" s="40" t="s">
        <v>137</v>
      </c>
      <c r="E273" s="53">
        <v>422</v>
      </c>
      <c r="F273" s="83"/>
      <c r="G273" s="84"/>
      <c r="H273" s="84"/>
      <c r="I273" s="85"/>
    </row>
    <row r="274" spans="1:11" ht="30" customHeight="1">
      <c r="A274" s="28">
        <f t="shared" si="21"/>
        <v>269</v>
      </c>
      <c r="B274" s="31"/>
      <c r="C274" s="39" t="s">
        <v>106</v>
      </c>
      <c r="D274" s="40" t="s">
        <v>137</v>
      </c>
      <c r="E274" s="53">
        <v>4</v>
      </c>
      <c r="F274" s="86"/>
      <c r="G274" s="87"/>
      <c r="H274" s="87"/>
      <c r="I274" s="88"/>
    </row>
    <row r="275" spans="1:11" ht="30" customHeight="1">
      <c r="A275" s="28">
        <f t="shared" si="21"/>
        <v>270</v>
      </c>
      <c r="B275" s="3"/>
      <c r="C275" s="124" t="s">
        <v>153</v>
      </c>
      <c r="D275" s="124"/>
      <c r="E275" s="99"/>
      <c r="F275" s="2" t="s">
        <v>137</v>
      </c>
      <c r="G275" s="38">
        <f>E276</f>
        <v>47</v>
      </c>
      <c r="H275" s="3"/>
      <c r="I275" s="4">
        <f t="shared" ref="I275" si="23">G275*H275</f>
        <v>0</v>
      </c>
    </row>
    <row r="276" spans="1:11" ht="30" customHeight="1">
      <c r="A276" s="28">
        <f t="shared" si="21"/>
        <v>271</v>
      </c>
      <c r="B276" s="31"/>
      <c r="C276" s="39" t="s">
        <v>144</v>
      </c>
      <c r="D276" s="40" t="s">
        <v>137</v>
      </c>
      <c r="E276" s="53">
        <v>47</v>
      </c>
      <c r="F276" s="89"/>
      <c r="G276" s="90"/>
      <c r="H276" s="90"/>
      <c r="I276" s="91"/>
    </row>
    <row r="277" spans="1:11" ht="30" customHeight="1">
      <c r="A277" s="28">
        <f t="shared" si="21"/>
        <v>272</v>
      </c>
      <c r="B277" s="17" t="s">
        <v>78</v>
      </c>
      <c r="C277" s="95" t="s">
        <v>79</v>
      </c>
      <c r="D277" s="96"/>
      <c r="E277" s="96"/>
      <c r="F277" s="2" t="s">
        <v>135</v>
      </c>
      <c r="G277" s="38" t="s">
        <v>135</v>
      </c>
      <c r="H277" s="3" t="s">
        <v>135</v>
      </c>
      <c r="I277" s="4" t="s">
        <v>135</v>
      </c>
    </row>
    <row r="278" spans="1:11" ht="30" customHeight="1">
      <c r="A278" s="28">
        <f t="shared" si="21"/>
        <v>273</v>
      </c>
      <c r="B278" s="17"/>
      <c r="C278" s="97" t="s">
        <v>126</v>
      </c>
      <c r="D278" s="98"/>
      <c r="E278" s="98"/>
      <c r="F278" s="2" t="s">
        <v>137</v>
      </c>
      <c r="G278" s="38">
        <f>SUM(E279:E284)</f>
        <v>240</v>
      </c>
      <c r="H278" s="3"/>
      <c r="I278" s="4">
        <f t="shared" ref="I278" si="24">G278*H278</f>
        <v>0</v>
      </c>
    </row>
    <row r="279" spans="1:11" ht="30" customHeight="1">
      <c r="A279" s="28">
        <f t="shared" si="21"/>
        <v>274</v>
      </c>
      <c r="B279" s="31"/>
      <c r="C279" s="39" t="s">
        <v>100</v>
      </c>
      <c r="D279" s="40" t="s">
        <v>137</v>
      </c>
      <c r="E279" s="53">
        <v>14</v>
      </c>
      <c r="F279" s="80"/>
      <c r="G279" s="81"/>
      <c r="H279" s="81"/>
      <c r="I279" s="82"/>
    </row>
    <row r="280" spans="1:11" ht="30" customHeight="1">
      <c r="A280" s="28">
        <f t="shared" si="21"/>
        <v>275</v>
      </c>
      <c r="B280" s="41"/>
      <c r="C280" s="39" t="s">
        <v>108</v>
      </c>
      <c r="D280" s="40" t="s">
        <v>137</v>
      </c>
      <c r="E280" s="53">
        <f>19</f>
        <v>19</v>
      </c>
      <c r="F280" s="83"/>
      <c r="G280" s="84"/>
      <c r="H280" s="84"/>
      <c r="I280" s="85"/>
    </row>
    <row r="281" spans="1:11" ht="30" customHeight="1">
      <c r="A281" s="28">
        <f t="shared" si="21"/>
        <v>276</v>
      </c>
      <c r="B281" s="41"/>
      <c r="C281" s="39" t="s">
        <v>104</v>
      </c>
      <c r="D281" s="40" t="s">
        <v>137</v>
      </c>
      <c r="E281" s="53">
        <v>16</v>
      </c>
      <c r="F281" s="83"/>
      <c r="G281" s="84"/>
      <c r="H281" s="84"/>
      <c r="I281" s="85"/>
    </row>
    <row r="282" spans="1:11" ht="30" customHeight="1">
      <c r="A282" s="28">
        <f t="shared" si="21"/>
        <v>277</v>
      </c>
      <c r="B282" s="41"/>
      <c r="C282" s="39" t="s">
        <v>107</v>
      </c>
      <c r="D282" s="40" t="s">
        <v>137</v>
      </c>
      <c r="E282" s="53">
        <v>10</v>
      </c>
      <c r="F282" s="83"/>
      <c r="G282" s="84"/>
      <c r="H282" s="84"/>
      <c r="I282" s="85"/>
    </row>
    <row r="283" spans="1:11" ht="30" customHeight="1">
      <c r="A283" s="28">
        <f t="shared" si="21"/>
        <v>278</v>
      </c>
      <c r="B283" s="31"/>
      <c r="C283" s="39" t="s">
        <v>143</v>
      </c>
      <c r="D283" s="40" t="s">
        <v>137</v>
      </c>
      <c r="E283" s="53">
        <f>43+108</f>
        <v>151</v>
      </c>
      <c r="F283" s="83"/>
      <c r="G283" s="84"/>
      <c r="H283" s="84"/>
      <c r="I283" s="85"/>
    </row>
    <row r="284" spans="1:11" ht="30" customHeight="1">
      <c r="A284" s="28">
        <f t="shared" si="21"/>
        <v>279</v>
      </c>
      <c r="B284" s="31"/>
      <c r="C284" s="39" t="s">
        <v>145</v>
      </c>
      <c r="D284" s="40" t="s">
        <v>137</v>
      </c>
      <c r="E284" s="53">
        <v>30</v>
      </c>
      <c r="F284" s="86"/>
      <c r="G284" s="87"/>
      <c r="H284" s="87"/>
      <c r="I284" s="88"/>
    </row>
    <row r="285" spans="1:11" ht="30" customHeight="1">
      <c r="A285" s="28">
        <f t="shared" si="21"/>
        <v>280</v>
      </c>
      <c r="B285" s="11" t="s">
        <v>56</v>
      </c>
      <c r="C285" s="110" t="s">
        <v>57</v>
      </c>
      <c r="D285" s="111"/>
      <c r="E285" s="111"/>
      <c r="F285" s="5" t="s">
        <v>135</v>
      </c>
      <c r="G285" s="60" t="s">
        <v>135</v>
      </c>
      <c r="H285" s="6" t="s">
        <v>135</v>
      </c>
      <c r="I285" s="63">
        <f>I287+I300+I310+I321+I335+I348+I358</f>
        <v>0</v>
      </c>
    </row>
    <row r="286" spans="1:11" ht="30" customHeight="1">
      <c r="A286" s="28">
        <f t="shared" si="21"/>
        <v>281</v>
      </c>
      <c r="B286" s="17" t="s">
        <v>58</v>
      </c>
      <c r="C286" s="95" t="s">
        <v>59</v>
      </c>
      <c r="D286" s="96"/>
      <c r="E286" s="96"/>
      <c r="F286" s="2" t="s">
        <v>135</v>
      </c>
      <c r="G286" s="38" t="s">
        <v>135</v>
      </c>
      <c r="H286" s="3" t="s">
        <v>135</v>
      </c>
      <c r="I286" s="4" t="s">
        <v>135</v>
      </c>
    </row>
    <row r="287" spans="1:11" ht="30" customHeight="1">
      <c r="A287" s="28">
        <f t="shared" si="21"/>
        <v>282</v>
      </c>
      <c r="B287" s="3"/>
      <c r="C287" s="99" t="s">
        <v>95</v>
      </c>
      <c r="D287" s="100"/>
      <c r="E287" s="100"/>
      <c r="F287" s="2" t="s">
        <v>137</v>
      </c>
      <c r="G287" s="38">
        <f>SUM(E288:E299)</f>
        <v>7926.5</v>
      </c>
      <c r="H287" s="3"/>
      <c r="I287" s="4">
        <f t="shared" ref="I287" si="25">G287*H287</f>
        <v>0</v>
      </c>
      <c r="J287" s="20"/>
      <c r="K287" s="20"/>
    </row>
    <row r="288" spans="1:11" ht="30" customHeight="1">
      <c r="A288" s="28">
        <f t="shared" si="21"/>
        <v>283</v>
      </c>
      <c r="B288" s="31"/>
      <c r="C288" s="32" t="s">
        <v>144</v>
      </c>
      <c r="D288" s="33" t="s">
        <v>137</v>
      </c>
      <c r="E288" s="42">
        <f>1311+527.5+734.5</f>
        <v>2573</v>
      </c>
      <c r="F288" s="80"/>
      <c r="G288" s="81"/>
      <c r="H288" s="81"/>
      <c r="I288" s="82"/>
    </row>
    <row r="289" spans="1:11" ht="30" customHeight="1">
      <c r="A289" s="28">
        <f t="shared" si="21"/>
        <v>284</v>
      </c>
      <c r="B289" s="31"/>
      <c r="C289" s="32" t="s">
        <v>143</v>
      </c>
      <c r="D289" s="33" t="s">
        <v>137</v>
      </c>
      <c r="E289" s="42">
        <f>1247+456+788.5</f>
        <v>2491.5</v>
      </c>
      <c r="F289" s="83"/>
      <c r="G289" s="84"/>
      <c r="H289" s="84"/>
      <c r="I289" s="85"/>
    </row>
    <row r="290" spans="1:11" ht="30" customHeight="1">
      <c r="A290" s="28">
        <f t="shared" si="21"/>
        <v>285</v>
      </c>
      <c r="B290" s="31"/>
      <c r="C290" s="32" t="s">
        <v>145</v>
      </c>
      <c r="D290" s="33" t="s">
        <v>137</v>
      </c>
      <c r="E290" s="42">
        <f>226+238</f>
        <v>464</v>
      </c>
      <c r="F290" s="83"/>
      <c r="G290" s="84"/>
      <c r="H290" s="84"/>
      <c r="I290" s="85"/>
    </row>
    <row r="291" spans="1:11" ht="30" customHeight="1">
      <c r="A291" s="28">
        <f t="shared" si="21"/>
        <v>286</v>
      </c>
      <c r="B291" s="31"/>
      <c r="C291" s="32" t="s">
        <v>146</v>
      </c>
      <c r="D291" s="33" t="s">
        <v>137</v>
      </c>
      <c r="E291" s="42">
        <f>138+140.5</f>
        <v>278.5</v>
      </c>
      <c r="F291" s="83"/>
      <c r="G291" s="84"/>
      <c r="H291" s="84"/>
      <c r="I291" s="85"/>
    </row>
    <row r="292" spans="1:11" ht="30" customHeight="1">
      <c r="A292" s="28">
        <f t="shared" si="21"/>
        <v>287</v>
      </c>
      <c r="B292" s="31"/>
      <c r="C292" s="32" t="s">
        <v>147</v>
      </c>
      <c r="D292" s="33" t="s">
        <v>137</v>
      </c>
      <c r="E292" s="42">
        <f>59.5+44</f>
        <v>103.5</v>
      </c>
      <c r="F292" s="83"/>
      <c r="G292" s="84"/>
      <c r="H292" s="84"/>
      <c r="I292" s="85"/>
    </row>
    <row r="293" spans="1:11" ht="30" customHeight="1">
      <c r="A293" s="28">
        <f t="shared" si="21"/>
        <v>288</v>
      </c>
      <c r="B293" s="31"/>
      <c r="C293" s="32" t="s">
        <v>100</v>
      </c>
      <c r="D293" s="33" t="s">
        <v>137</v>
      </c>
      <c r="E293" s="42">
        <f>76+47+18+118+100</f>
        <v>359</v>
      </c>
      <c r="F293" s="83"/>
      <c r="G293" s="84"/>
      <c r="H293" s="84"/>
      <c r="I293" s="85"/>
    </row>
    <row r="294" spans="1:11" ht="30" customHeight="1">
      <c r="A294" s="28">
        <f t="shared" si="21"/>
        <v>289</v>
      </c>
      <c r="B294" s="31"/>
      <c r="C294" s="32" t="s">
        <v>108</v>
      </c>
      <c r="D294" s="33" t="s">
        <v>137</v>
      </c>
      <c r="E294" s="42">
        <f>26+64+70+70</f>
        <v>230</v>
      </c>
      <c r="F294" s="83"/>
      <c r="G294" s="84"/>
      <c r="H294" s="84"/>
      <c r="I294" s="85"/>
    </row>
    <row r="295" spans="1:11" ht="30" customHeight="1">
      <c r="A295" s="28">
        <f t="shared" si="21"/>
        <v>290</v>
      </c>
      <c r="B295" s="31"/>
      <c r="C295" s="32" t="s">
        <v>107</v>
      </c>
      <c r="D295" s="33" t="s">
        <v>137</v>
      </c>
      <c r="E295" s="42">
        <v>815</v>
      </c>
      <c r="F295" s="83"/>
      <c r="G295" s="84"/>
      <c r="H295" s="84"/>
      <c r="I295" s="85"/>
    </row>
    <row r="296" spans="1:11" ht="30" customHeight="1">
      <c r="A296" s="28">
        <f t="shared" si="21"/>
        <v>291</v>
      </c>
      <c r="B296" s="31"/>
      <c r="C296" s="32" t="s">
        <v>103</v>
      </c>
      <c r="D296" s="33" t="s">
        <v>137</v>
      </c>
      <c r="E296" s="42">
        <f>31.5+22</f>
        <v>53.5</v>
      </c>
      <c r="F296" s="83"/>
      <c r="G296" s="84"/>
      <c r="H296" s="84"/>
      <c r="I296" s="85"/>
    </row>
    <row r="297" spans="1:11" ht="30" customHeight="1">
      <c r="A297" s="28">
        <f t="shared" si="21"/>
        <v>292</v>
      </c>
      <c r="B297" s="31"/>
      <c r="C297" s="32" t="s">
        <v>105</v>
      </c>
      <c r="D297" s="33" t="s">
        <v>137</v>
      </c>
      <c r="E297" s="42">
        <f>85+76.5</f>
        <v>161.5</v>
      </c>
      <c r="F297" s="83"/>
      <c r="G297" s="84"/>
      <c r="H297" s="84"/>
      <c r="I297" s="85"/>
    </row>
    <row r="298" spans="1:11" ht="30" customHeight="1">
      <c r="A298" s="28">
        <f t="shared" si="21"/>
        <v>293</v>
      </c>
      <c r="B298" s="31"/>
      <c r="C298" s="32" t="s">
        <v>104</v>
      </c>
      <c r="D298" s="33" t="s">
        <v>137</v>
      </c>
      <c r="E298" s="42">
        <v>20</v>
      </c>
      <c r="F298" s="83"/>
      <c r="G298" s="84"/>
      <c r="H298" s="84"/>
      <c r="I298" s="85"/>
    </row>
    <row r="299" spans="1:11" ht="30" customHeight="1">
      <c r="A299" s="28">
        <f t="shared" si="21"/>
        <v>294</v>
      </c>
      <c r="B299" s="31"/>
      <c r="C299" s="32" t="s">
        <v>106</v>
      </c>
      <c r="D299" s="33" t="s">
        <v>137</v>
      </c>
      <c r="E299" s="42">
        <f>186.5+190.5</f>
        <v>377</v>
      </c>
      <c r="F299" s="86"/>
      <c r="G299" s="87"/>
      <c r="H299" s="87"/>
      <c r="I299" s="88"/>
    </row>
    <row r="300" spans="1:11" ht="30" customHeight="1">
      <c r="A300" s="28">
        <f t="shared" si="21"/>
        <v>295</v>
      </c>
      <c r="B300" s="3"/>
      <c r="C300" s="99" t="s">
        <v>94</v>
      </c>
      <c r="D300" s="100"/>
      <c r="E300" s="100"/>
      <c r="F300" s="2" t="s">
        <v>137</v>
      </c>
      <c r="G300" s="38">
        <f>SUM(E301:E309)</f>
        <v>423</v>
      </c>
      <c r="H300" s="3"/>
      <c r="I300" s="4">
        <f t="shared" ref="I300" si="26">G300*H300</f>
        <v>0</v>
      </c>
      <c r="J300" s="20"/>
      <c r="K300" s="20"/>
    </row>
    <row r="301" spans="1:11" ht="30" customHeight="1">
      <c r="A301" s="28">
        <f t="shared" si="21"/>
        <v>296</v>
      </c>
      <c r="B301" s="31"/>
      <c r="C301" s="32" t="s">
        <v>144</v>
      </c>
      <c r="D301" s="33" t="s">
        <v>137</v>
      </c>
      <c r="E301" s="42">
        <v>112</v>
      </c>
      <c r="F301" s="80"/>
      <c r="G301" s="81"/>
      <c r="H301" s="81"/>
      <c r="I301" s="82"/>
    </row>
    <row r="302" spans="1:11" ht="30" customHeight="1">
      <c r="A302" s="28">
        <f t="shared" si="21"/>
        <v>297</v>
      </c>
      <c r="B302" s="31"/>
      <c r="C302" s="32" t="s">
        <v>143</v>
      </c>
      <c r="D302" s="33" t="s">
        <v>137</v>
      </c>
      <c r="E302" s="42">
        <v>139</v>
      </c>
      <c r="F302" s="83"/>
      <c r="G302" s="84"/>
      <c r="H302" s="84"/>
      <c r="I302" s="85"/>
    </row>
    <row r="303" spans="1:11" ht="30" customHeight="1">
      <c r="A303" s="28">
        <f t="shared" si="21"/>
        <v>298</v>
      </c>
      <c r="B303" s="31"/>
      <c r="C303" s="32" t="s">
        <v>145</v>
      </c>
      <c r="D303" s="33" t="s">
        <v>137</v>
      </c>
      <c r="E303" s="42">
        <v>14</v>
      </c>
      <c r="F303" s="83"/>
      <c r="G303" s="84"/>
      <c r="H303" s="84"/>
      <c r="I303" s="85"/>
    </row>
    <row r="304" spans="1:11" ht="30" customHeight="1">
      <c r="A304" s="28">
        <f t="shared" si="21"/>
        <v>299</v>
      </c>
      <c r="B304" s="31"/>
      <c r="C304" s="32" t="s">
        <v>146</v>
      </c>
      <c r="D304" s="33" t="s">
        <v>137</v>
      </c>
      <c r="E304" s="42">
        <f>4*3</f>
        <v>12</v>
      </c>
      <c r="F304" s="83"/>
      <c r="G304" s="84"/>
      <c r="H304" s="84"/>
      <c r="I304" s="85"/>
    </row>
    <row r="305" spans="1:11" ht="30" customHeight="1">
      <c r="A305" s="28">
        <f t="shared" si="21"/>
        <v>300</v>
      </c>
      <c r="B305" s="31"/>
      <c r="C305" s="32" t="s">
        <v>100</v>
      </c>
      <c r="D305" s="33" t="s">
        <v>137</v>
      </c>
      <c r="E305" s="42">
        <v>62</v>
      </c>
      <c r="F305" s="83"/>
      <c r="G305" s="84"/>
      <c r="H305" s="84"/>
      <c r="I305" s="85"/>
    </row>
    <row r="306" spans="1:11" ht="30" customHeight="1">
      <c r="A306" s="28">
        <f t="shared" si="21"/>
        <v>301</v>
      </c>
      <c r="B306" s="31"/>
      <c r="C306" s="32" t="s">
        <v>108</v>
      </c>
      <c r="D306" s="33" t="s">
        <v>137</v>
      </c>
      <c r="E306" s="42">
        <v>4</v>
      </c>
      <c r="F306" s="83"/>
      <c r="G306" s="84"/>
      <c r="H306" s="84"/>
      <c r="I306" s="85"/>
    </row>
    <row r="307" spans="1:11" ht="30" customHeight="1">
      <c r="A307" s="28">
        <f t="shared" si="21"/>
        <v>302</v>
      </c>
      <c r="B307" s="31"/>
      <c r="C307" s="32" t="s">
        <v>107</v>
      </c>
      <c r="D307" s="33" t="s">
        <v>137</v>
      </c>
      <c r="E307" s="42">
        <v>56</v>
      </c>
      <c r="F307" s="83"/>
      <c r="G307" s="84"/>
      <c r="H307" s="84"/>
      <c r="I307" s="85"/>
    </row>
    <row r="308" spans="1:11" ht="30" customHeight="1">
      <c r="A308" s="28">
        <f t="shared" si="21"/>
        <v>303</v>
      </c>
      <c r="B308" s="31"/>
      <c r="C308" s="32" t="s">
        <v>103</v>
      </c>
      <c r="D308" s="33" t="s">
        <v>137</v>
      </c>
      <c r="E308" s="42">
        <v>8</v>
      </c>
      <c r="F308" s="83"/>
      <c r="G308" s="84"/>
      <c r="H308" s="84"/>
      <c r="I308" s="85"/>
    </row>
    <row r="309" spans="1:11" ht="30" customHeight="1">
      <c r="A309" s="28">
        <f t="shared" si="21"/>
        <v>304</v>
      </c>
      <c r="B309" s="31"/>
      <c r="C309" s="32" t="s">
        <v>106</v>
      </c>
      <c r="D309" s="33" t="s">
        <v>137</v>
      </c>
      <c r="E309" s="42">
        <f>4*4</f>
        <v>16</v>
      </c>
      <c r="F309" s="86"/>
      <c r="G309" s="87"/>
      <c r="H309" s="87"/>
      <c r="I309" s="88"/>
    </row>
    <row r="310" spans="1:11" s="7" customFormat="1" ht="30" customHeight="1">
      <c r="A310" s="28">
        <f t="shared" si="21"/>
        <v>305</v>
      </c>
      <c r="B310" s="3"/>
      <c r="C310" s="99" t="s">
        <v>93</v>
      </c>
      <c r="D310" s="100"/>
      <c r="E310" s="100"/>
      <c r="F310" s="2" t="s">
        <v>137</v>
      </c>
      <c r="G310" s="38">
        <f>SUM(E311:E319)</f>
        <v>1616</v>
      </c>
      <c r="H310" s="3"/>
      <c r="I310" s="4">
        <f t="shared" ref="I310" si="27">G310*H310</f>
        <v>0</v>
      </c>
      <c r="J310" s="22"/>
      <c r="K310" s="22"/>
    </row>
    <row r="311" spans="1:11" s="7" customFormat="1" ht="30" customHeight="1">
      <c r="A311" s="28">
        <f t="shared" si="21"/>
        <v>306</v>
      </c>
      <c r="B311" s="31"/>
      <c r="C311" s="32" t="s">
        <v>144</v>
      </c>
      <c r="D311" s="33" t="s">
        <v>137</v>
      </c>
      <c r="E311" s="42">
        <v>374</v>
      </c>
      <c r="F311" s="80"/>
      <c r="G311" s="81"/>
      <c r="H311" s="81"/>
      <c r="I311" s="82"/>
      <c r="J311" s="19"/>
    </row>
    <row r="312" spans="1:11" s="7" customFormat="1" ht="30" customHeight="1">
      <c r="A312" s="28">
        <f t="shared" si="21"/>
        <v>307</v>
      </c>
      <c r="B312" s="31"/>
      <c r="C312" s="32" t="s">
        <v>143</v>
      </c>
      <c r="D312" s="33" t="s">
        <v>137</v>
      </c>
      <c r="E312" s="42">
        <v>622</v>
      </c>
      <c r="F312" s="83"/>
      <c r="G312" s="84"/>
      <c r="H312" s="84"/>
      <c r="I312" s="85"/>
    </row>
    <row r="313" spans="1:11" s="7" customFormat="1" ht="30" customHeight="1">
      <c r="A313" s="28">
        <f t="shared" si="21"/>
        <v>308</v>
      </c>
      <c r="B313" s="31"/>
      <c r="C313" s="32" t="s">
        <v>145</v>
      </c>
      <c r="D313" s="33" t="s">
        <v>137</v>
      </c>
      <c r="E313" s="42">
        <v>72</v>
      </c>
      <c r="F313" s="83"/>
      <c r="G313" s="84"/>
      <c r="H313" s="84"/>
      <c r="I313" s="85"/>
    </row>
    <row r="314" spans="1:11" s="7" customFormat="1" ht="30" customHeight="1">
      <c r="A314" s="28">
        <f t="shared" si="21"/>
        <v>309</v>
      </c>
      <c r="B314" s="31"/>
      <c r="C314" s="32" t="s">
        <v>146</v>
      </c>
      <c r="D314" s="33" t="s">
        <v>137</v>
      </c>
      <c r="E314" s="42">
        <f>10*3</f>
        <v>30</v>
      </c>
      <c r="F314" s="83"/>
      <c r="G314" s="84"/>
      <c r="H314" s="84"/>
      <c r="I314" s="85"/>
    </row>
    <row r="315" spans="1:11" s="7" customFormat="1" ht="30" customHeight="1">
      <c r="A315" s="28">
        <f t="shared" si="21"/>
        <v>310</v>
      </c>
      <c r="B315" s="31"/>
      <c r="C315" s="32" t="s">
        <v>100</v>
      </c>
      <c r="D315" s="33" t="s">
        <v>137</v>
      </c>
      <c r="E315" s="42">
        <v>346</v>
      </c>
      <c r="F315" s="83"/>
      <c r="G315" s="84"/>
      <c r="H315" s="84"/>
      <c r="I315" s="85"/>
    </row>
    <row r="316" spans="1:11" s="7" customFormat="1" ht="30" customHeight="1">
      <c r="A316" s="28">
        <f t="shared" si="21"/>
        <v>311</v>
      </c>
      <c r="B316" s="31"/>
      <c r="C316" s="32" t="s">
        <v>108</v>
      </c>
      <c r="D316" s="33" t="s">
        <v>137</v>
      </c>
      <c r="E316" s="42">
        <v>9</v>
      </c>
      <c r="F316" s="83"/>
      <c r="G316" s="84"/>
      <c r="H316" s="84"/>
      <c r="I316" s="85"/>
    </row>
    <row r="317" spans="1:11" s="7" customFormat="1" ht="30" customHeight="1">
      <c r="A317" s="28">
        <f t="shared" si="21"/>
        <v>312</v>
      </c>
      <c r="B317" s="31"/>
      <c r="C317" s="32" t="s">
        <v>107</v>
      </c>
      <c r="D317" s="33" t="s">
        <v>137</v>
      </c>
      <c r="E317" s="42">
        <v>95</v>
      </c>
      <c r="F317" s="83"/>
      <c r="G317" s="84"/>
      <c r="H317" s="84"/>
      <c r="I317" s="85"/>
    </row>
    <row r="318" spans="1:11" s="7" customFormat="1" ht="30" customHeight="1">
      <c r="A318" s="28">
        <f t="shared" si="21"/>
        <v>313</v>
      </c>
      <c r="B318" s="31"/>
      <c r="C318" s="32" t="s">
        <v>103</v>
      </c>
      <c r="D318" s="33" t="s">
        <v>137</v>
      </c>
      <c r="E318" s="42">
        <v>37</v>
      </c>
      <c r="F318" s="83"/>
      <c r="G318" s="84"/>
      <c r="H318" s="84"/>
      <c r="I318" s="85"/>
    </row>
    <row r="319" spans="1:11" s="7" customFormat="1" ht="30" customHeight="1">
      <c r="A319" s="28">
        <f t="shared" si="21"/>
        <v>314</v>
      </c>
      <c r="B319" s="31"/>
      <c r="C319" s="32" t="s">
        <v>106</v>
      </c>
      <c r="D319" s="33" t="s">
        <v>137</v>
      </c>
      <c r="E319" s="42">
        <f>2.5+2.5+2.5+2.5+5+7+4.5+4.5</f>
        <v>31</v>
      </c>
      <c r="F319" s="86"/>
      <c r="G319" s="87"/>
      <c r="H319" s="87"/>
      <c r="I319" s="88"/>
    </row>
    <row r="320" spans="1:11" s="7" customFormat="1" ht="30" customHeight="1">
      <c r="A320" s="28">
        <f t="shared" si="21"/>
        <v>315</v>
      </c>
      <c r="B320" s="17" t="s">
        <v>92</v>
      </c>
      <c r="C320" s="95" t="s">
        <v>91</v>
      </c>
      <c r="D320" s="96"/>
      <c r="E320" s="96"/>
      <c r="F320" s="2" t="s">
        <v>135</v>
      </c>
      <c r="G320" s="38" t="s">
        <v>135</v>
      </c>
      <c r="H320" s="3" t="s">
        <v>135</v>
      </c>
      <c r="I320" s="64" t="s">
        <v>135</v>
      </c>
    </row>
    <row r="321" spans="1:10" s="7" customFormat="1" ht="30" customHeight="1">
      <c r="A321" s="28">
        <f t="shared" si="21"/>
        <v>316</v>
      </c>
      <c r="B321" s="17"/>
      <c r="C321" s="99" t="s">
        <v>90</v>
      </c>
      <c r="D321" s="100"/>
      <c r="E321" s="100"/>
      <c r="F321" s="2" t="s">
        <v>139</v>
      </c>
      <c r="G321" s="38">
        <f>SUM(E322:E333)</f>
        <v>8427.3000000000011</v>
      </c>
      <c r="H321" s="3"/>
      <c r="I321" s="4">
        <f t="shared" ref="I321" si="28">G321*H321</f>
        <v>0</v>
      </c>
    </row>
    <row r="322" spans="1:10" s="7" customFormat="1" ht="30" customHeight="1">
      <c r="A322" s="28">
        <f t="shared" si="21"/>
        <v>317</v>
      </c>
      <c r="B322" s="31"/>
      <c r="C322" s="32" t="s">
        <v>144</v>
      </c>
      <c r="D322" s="33" t="s">
        <v>139</v>
      </c>
      <c r="E322" s="42">
        <f>(527.5-(4*31)+442.5+279)*2.1</f>
        <v>2362.5</v>
      </c>
      <c r="F322" s="80"/>
      <c r="G322" s="81"/>
      <c r="H322" s="81"/>
      <c r="I322" s="82"/>
      <c r="J322" s="22"/>
    </row>
    <row r="323" spans="1:10" s="7" customFormat="1" ht="30" customHeight="1">
      <c r="A323" s="28">
        <f t="shared" si="21"/>
        <v>318</v>
      </c>
      <c r="B323" s="31"/>
      <c r="C323" s="32" t="s">
        <v>143</v>
      </c>
      <c r="D323" s="33" t="s">
        <v>139</v>
      </c>
      <c r="E323" s="42">
        <f>(459-(4*25)+788.5-(4*7))*2.1</f>
        <v>2350.9500000000003</v>
      </c>
      <c r="F323" s="83"/>
      <c r="G323" s="84"/>
      <c r="H323" s="84"/>
      <c r="I323" s="85"/>
    </row>
    <row r="324" spans="1:10" s="7" customFormat="1" ht="30" customHeight="1">
      <c r="A324" s="28">
        <f t="shared" si="21"/>
        <v>319</v>
      </c>
      <c r="B324" s="31"/>
      <c r="C324" s="32" t="s">
        <v>145</v>
      </c>
      <c r="D324" s="33" t="s">
        <v>139</v>
      </c>
      <c r="E324" s="42">
        <f>(14+130.5+72.5+11.5+15+30)*2.1</f>
        <v>574.35</v>
      </c>
      <c r="F324" s="83"/>
      <c r="G324" s="84"/>
      <c r="H324" s="84"/>
      <c r="I324" s="85"/>
    </row>
    <row r="325" spans="1:10" s="7" customFormat="1" ht="30" customHeight="1">
      <c r="A325" s="28">
        <f t="shared" si="21"/>
        <v>320</v>
      </c>
      <c r="B325" s="31"/>
      <c r="C325" s="32" t="s">
        <v>146</v>
      </c>
      <c r="D325" s="33" t="s">
        <v>139</v>
      </c>
      <c r="E325" s="42">
        <f>(30+44.5+34+14+14)*2.1</f>
        <v>286.65000000000003</v>
      </c>
      <c r="F325" s="83"/>
      <c r="G325" s="84"/>
      <c r="H325" s="84"/>
      <c r="I325" s="85"/>
    </row>
    <row r="326" spans="1:10" s="7" customFormat="1" ht="30" customHeight="1">
      <c r="A326" s="28">
        <f t="shared" si="21"/>
        <v>321</v>
      </c>
      <c r="B326" s="31"/>
      <c r="C326" s="32" t="s">
        <v>147</v>
      </c>
      <c r="D326" s="33" t="s">
        <v>139</v>
      </c>
      <c r="E326" s="42">
        <f>(57+12)*2.1</f>
        <v>144.9</v>
      </c>
      <c r="F326" s="83"/>
      <c r="G326" s="84"/>
      <c r="H326" s="84"/>
      <c r="I326" s="85"/>
    </row>
    <row r="327" spans="1:10" s="7" customFormat="1" ht="30" customHeight="1">
      <c r="A327" s="28">
        <f t="shared" si="21"/>
        <v>322</v>
      </c>
      <c r="B327" s="31"/>
      <c r="C327" s="32" t="s">
        <v>100</v>
      </c>
      <c r="D327" s="33" t="s">
        <v>139</v>
      </c>
      <c r="E327" s="42">
        <f>(31.5+7+31.5+10+14.5+10.5+14.5+5+13+28.5+22.5+4+13+17.5+25+2.5+22)*2.1</f>
        <v>572.25</v>
      </c>
      <c r="F327" s="83"/>
      <c r="G327" s="84"/>
      <c r="H327" s="84"/>
      <c r="I327" s="85"/>
      <c r="J327" s="22"/>
    </row>
    <row r="328" spans="1:10" s="7" customFormat="1" ht="30" customHeight="1">
      <c r="A328" s="28">
        <f t="shared" ref="A328:A365" si="29">A327+1</f>
        <v>323</v>
      </c>
      <c r="B328" s="31"/>
      <c r="C328" s="32" t="s">
        <v>108</v>
      </c>
      <c r="D328" s="33" t="s">
        <v>139</v>
      </c>
      <c r="E328" s="42">
        <f>(41+11.5+48.5+72+53+10+20)*2.1</f>
        <v>537.6</v>
      </c>
      <c r="F328" s="83"/>
      <c r="G328" s="84"/>
      <c r="H328" s="84"/>
      <c r="I328" s="85"/>
    </row>
    <row r="329" spans="1:10" s="7" customFormat="1" ht="30" customHeight="1">
      <c r="A329" s="28">
        <f t="shared" si="29"/>
        <v>324</v>
      </c>
      <c r="B329" s="31"/>
      <c r="C329" s="32" t="s">
        <v>107</v>
      </c>
      <c r="D329" s="33" t="s">
        <v>139</v>
      </c>
      <c r="E329" s="42">
        <f>(347+220)*2.1</f>
        <v>1190.7</v>
      </c>
      <c r="F329" s="83"/>
      <c r="G329" s="84"/>
      <c r="H329" s="84"/>
      <c r="I329" s="85"/>
    </row>
    <row r="330" spans="1:10" s="7" customFormat="1" ht="30" customHeight="1">
      <c r="A330" s="28">
        <f t="shared" si="29"/>
        <v>325</v>
      </c>
      <c r="B330" s="31"/>
      <c r="C330" s="32" t="s">
        <v>103</v>
      </c>
      <c r="D330" s="33" t="s">
        <v>139</v>
      </c>
      <c r="E330" s="42">
        <f>(15.5+10.5+10.5)*2.1</f>
        <v>76.650000000000006</v>
      </c>
      <c r="F330" s="83"/>
      <c r="G330" s="84"/>
      <c r="H330" s="84"/>
      <c r="I330" s="85"/>
    </row>
    <row r="331" spans="1:10" s="7" customFormat="1" ht="30" customHeight="1">
      <c r="A331" s="28">
        <f t="shared" si="29"/>
        <v>326</v>
      </c>
      <c r="B331" s="31"/>
      <c r="C331" s="32" t="s">
        <v>105</v>
      </c>
      <c r="D331" s="33" t="s">
        <v>139</v>
      </c>
      <c r="E331" s="42">
        <f>76.5*2.1</f>
        <v>160.65</v>
      </c>
      <c r="F331" s="83"/>
      <c r="G331" s="84"/>
      <c r="H331" s="84"/>
      <c r="I331" s="85"/>
    </row>
    <row r="332" spans="1:10" s="7" customFormat="1" ht="30" customHeight="1">
      <c r="A332" s="28">
        <f t="shared" si="29"/>
        <v>327</v>
      </c>
      <c r="B332" s="31"/>
      <c r="C332" s="32" t="s">
        <v>104</v>
      </c>
      <c r="D332" s="33" t="s">
        <v>139</v>
      </c>
      <c r="E332" s="42">
        <f>10*2.1</f>
        <v>21</v>
      </c>
      <c r="F332" s="83"/>
      <c r="G332" s="84"/>
      <c r="H332" s="84"/>
      <c r="I332" s="85"/>
    </row>
    <row r="333" spans="1:10" s="7" customFormat="1" ht="30" customHeight="1">
      <c r="A333" s="28">
        <f t="shared" si="29"/>
        <v>328</v>
      </c>
      <c r="B333" s="31"/>
      <c r="C333" s="32" t="s">
        <v>106</v>
      </c>
      <c r="D333" s="33" t="s">
        <v>139</v>
      </c>
      <c r="E333" s="42">
        <f>71*2.1</f>
        <v>149.1</v>
      </c>
      <c r="F333" s="86"/>
      <c r="G333" s="87"/>
      <c r="H333" s="87"/>
      <c r="I333" s="88"/>
    </row>
    <row r="334" spans="1:10" ht="30" customHeight="1">
      <c r="A334" s="28">
        <f t="shared" si="29"/>
        <v>329</v>
      </c>
      <c r="B334" s="17" t="s">
        <v>60</v>
      </c>
      <c r="C334" s="95" t="s">
        <v>61</v>
      </c>
      <c r="D334" s="96"/>
      <c r="E334" s="96"/>
      <c r="F334" s="2" t="s">
        <v>135</v>
      </c>
      <c r="G334" s="38" t="s">
        <v>135</v>
      </c>
      <c r="H334" s="3" t="s">
        <v>135</v>
      </c>
      <c r="I334" s="4" t="s">
        <v>135</v>
      </c>
    </row>
    <row r="335" spans="1:10" ht="30" customHeight="1">
      <c r="A335" s="28">
        <f t="shared" si="29"/>
        <v>330</v>
      </c>
      <c r="B335" s="3"/>
      <c r="C335" s="99" t="s">
        <v>89</v>
      </c>
      <c r="D335" s="100"/>
      <c r="E335" s="100"/>
      <c r="F335" s="2" t="s">
        <v>137</v>
      </c>
      <c r="G335" s="38">
        <f>SUM(E336:E347)</f>
        <v>4218</v>
      </c>
      <c r="H335" s="3"/>
      <c r="I335" s="4">
        <f t="shared" ref="I335" si="30">G335*H335</f>
        <v>0</v>
      </c>
    </row>
    <row r="336" spans="1:10" ht="30" customHeight="1">
      <c r="A336" s="28">
        <f t="shared" si="29"/>
        <v>331</v>
      </c>
      <c r="B336" s="31"/>
      <c r="C336" s="32" t="s">
        <v>144</v>
      </c>
      <c r="D336" s="33" t="s">
        <v>137</v>
      </c>
      <c r="E336" s="42">
        <f>527.5-(4*31)+442.5+279</f>
        <v>1125</v>
      </c>
      <c r="F336" s="80"/>
      <c r="G336" s="81"/>
      <c r="H336" s="81"/>
      <c r="I336" s="82"/>
      <c r="J336" s="20"/>
    </row>
    <row r="337" spans="1:10" ht="30" customHeight="1">
      <c r="A337" s="28">
        <f t="shared" si="29"/>
        <v>332</v>
      </c>
      <c r="B337" s="31"/>
      <c r="C337" s="32" t="s">
        <v>143</v>
      </c>
      <c r="D337" s="33" t="s">
        <v>137</v>
      </c>
      <c r="E337" s="42">
        <f>459-(4*25)+788.5-(4*7)</f>
        <v>1119.5</v>
      </c>
      <c r="F337" s="83"/>
      <c r="G337" s="84"/>
      <c r="H337" s="84"/>
      <c r="I337" s="85"/>
    </row>
    <row r="338" spans="1:10" ht="30" customHeight="1">
      <c r="A338" s="28">
        <f t="shared" si="29"/>
        <v>333</v>
      </c>
      <c r="B338" s="31"/>
      <c r="C338" s="32" t="s">
        <v>145</v>
      </c>
      <c r="D338" s="33" t="s">
        <v>137</v>
      </c>
      <c r="E338" s="42">
        <f>205+14+130.5+72.5+11.5+15+30</f>
        <v>478.5</v>
      </c>
      <c r="F338" s="83"/>
      <c r="G338" s="84"/>
      <c r="H338" s="84"/>
      <c r="I338" s="85"/>
    </row>
    <row r="339" spans="1:10" ht="30" customHeight="1">
      <c r="A339" s="28">
        <f t="shared" si="29"/>
        <v>334</v>
      </c>
      <c r="B339" s="31"/>
      <c r="C339" s="32" t="s">
        <v>146</v>
      </c>
      <c r="D339" s="33" t="s">
        <v>137</v>
      </c>
      <c r="E339" s="42">
        <f>30+44.5+34+14+14</f>
        <v>136.5</v>
      </c>
      <c r="F339" s="83"/>
      <c r="G339" s="84"/>
      <c r="H339" s="84"/>
      <c r="I339" s="85"/>
    </row>
    <row r="340" spans="1:10" ht="30" customHeight="1">
      <c r="A340" s="28">
        <f t="shared" si="29"/>
        <v>335</v>
      </c>
      <c r="B340" s="31"/>
      <c r="C340" s="32" t="s">
        <v>147</v>
      </c>
      <c r="D340" s="33" t="s">
        <v>137</v>
      </c>
      <c r="E340" s="42">
        <f>57+12</f>
        <v>69</v>
      </c>
      <c r="F340" s="83"/>
      <c r="G340" s="84"/>
      <c r="H340" s="84"/>
      <c r="I340" s="85"/>
    </row>
    <row r="341" spans="1:10" ht="30" customHeight="1">
      <c r="A341" s="28">
        <f t="shared" si="29"/>
        <v>336</v>
      </c>
      <c r="B341" s="31"/>
      <c r="C341" s="32" t="s">
        <v>100</v>
      </c>
      <c r="D341" s="33" t="s">
        <v>137</v>
      </c>
      <c r="E341" s="42">
        <f>31.5+7+31.5+10+14.5+10.5+14.5+5+13+28.5+22.5+4+13+17.5+25+2.5+22</f>
        <v>272.5</v>
      </c>
      <c r="F341" s="83"/>
      <c r="G341" s="84"/>
      <c r="H341" s="84"/>
      <c r="I341" s="85"/>
    </row>
    <row r="342" spans="1:10" ht="30" customHeight="1">
      <c r="A342" s="28">
        <f t="shared" si="29"/>
        <v>337</v>
      </c>
      <c r="B342" s="31"/>
      <c r="C342" s="32" t="s">
        <v>108</v>
      </c>
      <c r="D342" s="33" t="s">
        <v>137</v>
      </c>
      <c r="E342" s="42">
        <f>41+11.5+48.5+72+53+10+20</f>
        <v>256</v>
      </c>
      <c r="F342" s="83"/>
      <c r="G342" s="84"/>
      <c r="H342" s="84"/>
      <c r="I342" s="85"/>
    </row>
    <row r="343" spans="1:10" ht="30" customHeight="1">
      <c r="A343" s="28">
        <f t="shared" si="29"/>
        <v>338</v>
      </c>
      <c r="B343" s="31"/>
      <c r="C343" s="32" t="s">
        <v>107</v>
      </c>
      <c r="D343" s="33" t="s">
        <v>137</v>
      </c>
      <c r="E343" s="42">
        <f>347+220</f>
        <v>567</v>
      </c>
      <c r="F343" s="83"/>
      <c r="G343" s="84"/>
      <c r="H343" s="84"/>
      <c r="I343" s="85"/>
    </row>
    <row r="344" spans="1:10" ht="30" customHeight="1">
      <c r="A344" s="28">
        <f t="shared" si="29"/>
        <v>339</v>
      </c>
      <c r="B344" s="31"/>
      <c r="C344" s="32" t="s">
        <v>103</v>
      </c>
      <c r="D344" s="33" t="s">
        <v>137</v>
      </c>
      <c r="E344" s="42">
        <f>15.5+10.5+10.5</f>
        <v>36.5</v>
      </c>
      <c r="F344" s="83"/>
      <c r="G344" s="84"/>
      <c r="H344" s="84"/>
      <c r="I344" s="85"/>
    </row>
    <row r="345" spans="1:10" ht="30" customHeight="1">
      <c r="A345" s="28">
        <f t="shared" si="29"/>
        <v>340</v>
      </c>
      <c r="B345" s="31"/>
      <c r="C345" s="32" t="s">
        <v>105</v>
      </c>
      <c r="D345" s="33" t="s">
        <v>137</v>
      </c>
      <c r="E345" s="42">
        <v>76.5</v>
      </c>
      <c r="F345" s="83"/>
      <c r="G345" s="84"/>
      <c r="H345" s="84"/>
      <c r="I345" s="85"/>
    </row>
    <row r="346" spans="1:10" ht="30" customHeight="1">
      <c r="A346" s="28">
        <f t="shared" si="29"/>
        <v>341</v>
      </c>
      <c r="B346" s="31"/>
      <c r="C346" s="32" t="s">
        <v>104</v>
      </c>
      <c r="D346" s="33" t="s">
        <v>137</v>
      </c>
      <c r="E346" s="42">
        <v>10</v>
      </c>
      <c r="F346" s="83"/>
      <c r="G346" s="84"/>
      <c r="H346" s="84"/>
      <c r="I346" s="85"/>
    </row>
    <row r="347" spans="1:10" ht="30" customHeight="1">
      <c r="A347" s="28">
        <f t="shared" si="29"/>
        <v>342</v>
      </c>
      <c r="B347" s="31"/>
      <c r="C347" s="32" t="s">
        <v>106</v>
      </c>
      <c r="D347" s="33" t="s">
        <v>137</v>
      </c>
      <c r="E347" s="42">
        <f>71</f>
        <v>71</v>
      </c>
      <c r="F347" s="86"/>
      <c r="G347" s="87"/>
      <c r="H347" s="87"/>
      <c r="I347" s="88"/>
    </row>
    <row r="348" spans="1:10" ht="30" customHeight="1">
      <c r="A348" s="28">
        <f t="shared" si="29"/>
        <v>343</v>
      </c>
      <c r="B348" s="17" t="s">
        <v>88</v>
      </c>
      <c r="C348" s="95" t="s">
        <v>87</v>
      </c>
      <c r="D348" s="96"/>
      <c r="E348" s="96"/>
      <c r="F348" s="2" t="s">
        <v>139</v>
      </c>
      <c r="G348" s="38">
        <f>SUM(E349:E356)</f>
        <v>856.80000000000007</v>
      </c>
      <c r="H348" s="3"/>
      <c r="I348" s="4">
        <f t="shared" ref="I348" si="31">G348*H348</f>
        <v>0</v>
      </c>
    </row>
    <row r="349" spans="1:10" ht="30" customHeight="1">
      <c r="A349" s="28">
        <f t="shared" si="29"/>
        <v>344</v>
      </c>
      <c r="B349" s="31"/>
      <c r="C349" s="32" t="s">
        <v>144</v>
      </c>
      <c r="D349" s="33" t="s">
        <v>139</v>
      </c>
      <c r="E349" s="42">
        <f>32*4*2.1</f>
        <v>268.8</v>
      </c>
      <c r="F349" s="80"/>
      <c r="G349" s="81"/>
      <c r="H349" s="81"/>
      <c r="I349" s="82"/>
      <c r="J349" s="20"/>
    </row>
    <row r="350" spans="1:10" ht="30" customHeight="1">
      <c r="A350" s="28">
        <f t="shared" si="29"/>
        <v>345</v>
      </c>
      <c r="B350" s="31"/>
      <c r="C350" s="32" t="s">
        <v>143</v>
      </c>
      <c r="D350" s="33" t="s">
        <v>139</v>
      </c>
      <c r="E350" s="42">
        <f>34*4*2.1</f>
        <v>285.60000000000002</v>
      </c>
      <c r="F350" s="83"/>
      <c r="G350" s="84"/>
      <c r="H350" s="84"/>
      <c r="I350" s="85"/>
    </row>
    <row r="351" spans="1:10" ht="30" customHeight="1">
      <c r="A351" s="28">
        <f t="shared" si="29"/>
        <v>346</v>
      </c>
      <c r="B351" s="31"/>
      <c r="C351" s="32" t="s">
        <v>145</v>
      </c>
      <c r="D351" s="33" t="s">
        <v>139</v>
      </c>
      <c r="E351" s="42">
        <f>3*4*2.1</f>
        <v>25.200000000000003</v>
      </c>
      <c r="F351" s="83"/>
      <c r="G351" s="84"/>
      <c r="H351" s="84"/>
      <c r="I351" s="85"/>
    </row>
    <row r="352" spans="1:10" ht="30" customHeight="1">
      <c r="A352" s="28">
        <f t="shared" si="29"/>
        <v>347</v>
      </c>
      <c r="B352" s="31"/>
      <c r="C352" s="32" t="s">
        <v>146</v>
      </c>
      <c r="D352" s="33" t="s">
        <v>139</v>
      </c>
      <c r="E352" s="42">
        <f>2*4*2.1</f>
        <v>16.8</v>
      </c>
      <c r="F352" s="83"/>
      <c r="G352" s="84"/>
      <c r="H352" s="84"/>
      <c r="I352" s="85"/>
    </row>
    <row r="353" spans="1:9" ht="30" customHeight="1">
      <c r="A353" s="28">
        <f t="shared" si="29"/>
        <v>348</v>
      </c>
      <c r="B353" s="31"/>
      <c r="C353" s="32" t="s">
        <v>100</v>
      </c>
      <c r="D353" s="33" t="s">
        <v>139</v>
      </c>
      <c r="E353" s="42">
        <f>15*4*2.1</f>
        <v>126</v>
      </c>
      <c r="F353" s="83"/>
      <c r="G353" s="84"/>
      <c r="H353" s="84"/>
      <c r="I353" s="85"/>
    </row>
    <row r="354" spans="1:9" ht="30" customHeight="1">
      <c r="A354" s="28">
        <f t="shared" si="29"/>
        <v>349</v>
      </c>
      <c r="B354" s="31"/>
      <c r="C354" s="32" t="s">
        <v>108</v>
      </c>
      <c r="D354" s="33" t="s">
        <v>139</v>
      </c>
      <c r="E354" s="42">
        <f>2*4*2.1</f>
        <v>16.8</v>
      </c>
      <c r="F354" s="83"/>
      <c r="G354" s="84"/>
      <c r="H354" s="84"/>
      <c r="I354" s="85"/>
    </row>
    <row r="355" spans="1:9" ht="30" customHeight="1">
      <c r="A355" s="28">
        <f t="shared" si="29"/>
        <v>350</v>
      </c>
      <c r="B355" s="31"/>
      <c r="C355" s="32" t="s">
        <v>107</v>
      </c>
      <c r="D355" s="33" t="s">
        <v>139</v>
      </c>
      <c r="E355" s="42">
        <f>13*4*2.1</f>
        <v>109.2</v>
      </c>
      <c r="F355" s="83"/>
      <c r="G355" s="84"/>
      <c r="H355" s="84"/>
      <c r="I355" s="85"/>
    </row>
    <row r="356" spans="1:9" ht="30" customHeight="1">
      <c r="A356" s="28">
        <f t="shared" si="29"/>
        <v>351</v>
      </c>
      <c r="B356" s="31"/>
      <c r="C356" s="32" t="s">
        <v>103</v>
      </c>
      <c r="D356" s="33" t="s">
        <v>139</v>
      </c>
      <c r="E356" s="42">
        <f>1*4*2.1</f>
        <v>8.4</v>
      </c>
      <c r="F356" s="86"/>
      <c r="G356" s="87"/>
      <c r="H356" s="87"/>
      <c r="I356" s="88"/>
    </row>
    <row r="357" spans="1:9" ht="30" customHeight="1">
      <c r="A357" s="28">
        <f t="shared" si="29"/>
        <v>352</v>
      </c>
      <c r="B357" s="17" t="s">
        <v>86</v>
      </c>
      <c r="C357" s="95" t="s">
        <v>85</v>
      </c>
      <c r="D357" s="96"/>
      <c r="E357" s="96"/>
      <c r="F357" s="2" t="s">
        <v>135</v>
      </c>
      <c r="G357" s="38" t="s">
        <v>135</v>
      </c>
      <c r="H357" s="3" t="s">
        <v>135</v>
      </c>
      <c r="I357" s="4" t="s">
        <v>135</v>
      </c>
    </row>
    <row r="358" spans="1:9" ht="30" customHeight="1">
      <c r="A358" s="28">
        <f t="shared" si="29"/>
        <v>353</v>
      </c>
      <c r="B358" s="3"/>
      <c r="C358" s="99" t="s">
        <v>122</v>
      </c>
      <c r="D358" s="100"/>
      <c r="E358" s="100"/>
      <c r="F358" s="2" t="s">
        <v>137</v>
      </c>
      <c r="G358" s="38">
        <f>SUM(E359:E361)</f>
        <v>718.5</v>
      </c>
      <c r="H358" s="3"/>
      <c r="I358" s="4">
        <f t="shared" ref="I358" si="32">G358*H358</f>
        <v>0</v>
      </c>
    </row>
    <row r="359" spans="1:9" ht="30" customHeight="1">
      <c r="A359" s="28">
        <f t="shared" si="29"/>
        <v>354</v>
      </c>
      <c r="B359" s="31"/>
      <c r="C359" s="32" t="s">
        <v>144</v>
      </c>
      <c r="D359" s="33" t="s">
        <v>139</v>
      </c>
      <c r="E359" s="42">
        <f>117+162.5+47+94.5</f>
        <v>421</v>
      </c>
      <c r="F359" s="80"/>
      <c r="G359" s="81"/>
      <c r="H359" s="81"/>
      <c r="I359" s="82"/>
    </row>
    <row r="360" spans="1:9" ht="30" customHeight="1">
      <c r="A360" s="28">
        <f t="shared" si="29"/>
        <v>355</v>
      </c>
      <c r="B360" s="31"/>
      <c r="C360" s="32" t="s">
        <v>143</v>
      </c>
      <c r="D360" s="33" t="s">
        <v>139</v>
      </c>
      <c r="E360" s="42">
        <f>166.5+27+28</f>
        <v>221.5</v>
      </c>
      <c r="F360" s="83"/>
      <c r="G360" s="84"/>
      <c r="H360" s="84"/>
      <c r="I360" s="85"/>
    </row>
    <row r="361" spans="1:9" ht="30" customHeight="1">
      <c r="A361" s="28">
        <f t="shared" si="29"/>
        <v>356</v>
      </c>
      <c r="B361" s="31"/>
      <c r="C361" s="32" t="s">
        <v>106</v>
      </c>
      <c r="D361" s="33" t="s">
        <v>137</v>
      </c>
      <c r="E361" s="42">
        <f>76</f>
        <v>76</v>
      </c>
      <c r="F361" s="86"/>
      <c r="G361" s="87"/>
      <c r="H361" s="87"/>
      <c r="I361" s="88"/>
    </row>
    <row r="362" spans="1:9" ht="30" customHeight="1">
      <c r="A362" s="28">
        <f t="shared" si="29"/>
        <v>357</v>
      </c>
      <c r="B362" s="11" t="s">
        <v>62</v>
      </c>
      <c r="C362" s="110" t="s">
        <v>63</v>
      </c>
      <c r="D362" s="111"/>
      <c r="E362" s="111"/>
      <c r="F362" s="5" t="s">
        <v>135</v>
      </c>
      <c r="G362" s="60" t="s">
        <v>135</v>
      </c>
      <c r="H362" s="6" t="s">
        <v>135</v>
      </c>
      <c r="I362" s="63">
        <f>I363</f>
        <v>0</v>
      </c>
    </row>
    <row r="363" spans="1:9" ht="30" customHeight="1">
      <c r="A363" s="28">
        <f t="shared" si="29"/>
        <v>358</v>
      </c>
      <c r="B363" s="3" t="s">
        <v>84</v>
      </c>
      <c r="C363" s="99" t="s">
        <v>83</v>
      </c>
      <c r="D363" s="100"/>
      <c r="E363" s="100"/>
      <c r="F363" s="2" t="s">
        <v>137</v>
      </c>
      <c r="G363" s="38">
        <f>SUM(E364:E365)</f>
        <v>12</v>
      </c>
      <c r="H363" s="3"/>
      <c r="I363" s="4">
        <f t="shared" ref="I363" si="33">G363*H363</f>
        <v>0</v>
      </c>
    </row>
    <row r="364" spans="1:9" ht="30" customHeight="1">
      <c r="A364" s="28">
        <f t="shared" si="29"/>
        <v>359</v>
      </c>
      <c r="B364" s="31"/>
      <c r="C364" s="32" t="s">
        <v>103</v>
      </c>
      <c r="D364" s="33" t="s">
        <v>137</v>
      </c>
      <c r="E364" s="42">
        <v>9</v>
      </c>
      <c r="F364" s="80"/>
      <c r="G364" s="81"/>
      <c r="H364" s="81"/>
      <c r="I364" s="82"/>
    </row>
    <row r="365" spans="1:9" ht="30" customHeight="1" thickBot="1">
      <c r="A365" s="28">
        <f t="shared" si="29"/>
        <v>360</v>
      </c>
      <c r="B365" s="34"/>
      <c r="C365" s="35" t="s">
        <v>107</v>
      </c>
      <c r="D365" s="36" t="s">
        <v>137</v>
      </c>
      <c r="E365" s="43">
        <v>3</v>
      </c>
      <c r="F365" s="92"/>
      <c r="G365" s="93"/>
      <c r="H365" s="93"/>
      <c r="I365" s="94"/>
    </row>
  </sheetData>
  <mergeCells count="163">
    <mergeCell ref="A1:I1"/>
    <mergeCell ref="A2:I2"/>
    <mergeCell ref="H3:H4"/>
    <mergeCell ref="I3:I4"/>
    <mergeCell ref="A5:H5"/>
    <mergeCell ref="C256:E256"/>
    <mergeCell ref="C261:E261"/>
    <mergeCell ref="C264:E264"/>
    <mergeCell ref="C265:E265"/>
    <mergeCell ref="C252:E252"/>
    <mergeCell ref="C255:E255"/>
    <mergeCell ref="C200:E200"/>
    <mergeCell ref="C207:E207"/>
    <mergeCell ref="C208:E208"/>
    <mergeCell ref="C209:E209"/>
    <mergeCell ref="C219:E219"/>
    <mergeCell ref="C220:E220"/>
    <mergeCell ref="C223:E223"/>
    <mergeCell ref="C221:E221"/>
    <mergeCell ref="C222:E222"/>
    <mergeCell ref="C233:E233"/>
    <mergeCell ref="C242:E242"/>
    <mergeCell ref="C169:E169"/>
    <mergeCell ref="C170:E170"/>
    <mergeCell ref="C266:E266"/>
    <mergeCell ref="C267:E267"/>
    <mergeCell ref="C268:E268"/>
    <mergeCell ref="C363:E363"/>
    <mergeCell ref="C286:E286"/>
    <mergeCell ref="C287:E287"/>
    <mergeCell ref="C300:E300"/>
    <mergeCell ref="C310:E310"/>
    <mergeCell ref="C320:E320"/>
    <mergeCell ref="C321:E321"/>
    <mergeCell ref="C334:E334"/>
    <mergeCell ref="C335:E335"/>
    <mergeCell ref="C362:E362"/>
    <mergeCell ref="C269:E269"/>
    <mergeCell ref="C277:E277"/>
    <mergeCell ref="C278:E278"/>
    <mergeCell ref="C348:E348"/>
    <mergeCell ref="C357:E357"/>
    <mergeCell ref="C358:E358"/>
    <mergeCell ref="C285:E285"/>
    <mergeCell ref="C270:E270"/>
    <mergeCell ref="C275:E275"/>
    <mergeCell ref="C149:E149"/>
    <mergeCell ref="C150:E150"/>
    <mergeCell ref="C171:E171"/>
    <mergeCell ref="C172:E172"/>
    <mergeCell ref="C185:E185"/>
    <mergeCell ref="C187:E187"/>
    <mergeCell ref="C188:E188"/>
    <mergeCell ref="C198:E198"/>
    <mergeCell ref="C133:E133"/>
    <mergeCell ref="C143:E143"/>
    <mergeCell ref="C173:E173"/>
    <mergeCell ref="C184:E184"/>
    <mergeCell ref="C165:E165"/>
    <mergeCell ref="C167:E167"/>
    <mergeCell ref="C175:E175"/>
    <mergeCell ref="C176:E176"/>
    <mergeCell ref="C168:E168"/>
    <mergeCell ref="A3:A4"/>
    <mergeCell ref="B3:B4"/>
    <mergeCell ref="C81:E81"/>
    <mergeCell ref="C82:E82"/>
    <mergeCell ref="C92:E92"/>
    <mergeCell ref="C37:E37"/>
    <mergeCell ref="C45:E45"/>
    <mergeCell ref="C6:E6"/>
    <mergeCell ref="C7:E7"/>
    <mergeCell ref="C20:E20"/>
    <mergeCell ref="C21:E21"/>
    <mergeCell ref="C22:E22"/>
    <mergeCell ref="C53:E53"/>
    <mergeCell ref="C60:E60"/>
    <mergeCell ref="C67:E67"/>
    <mergeCell ref="C68:E68"/>
    <mergeCell ref="C69:E69"/>
    <mergeCell ref="C70:E70"/>
    <mergeCell ref="C71:E71"/>
    <mergeCell ref="F3:G3"/>
    <mergeCell ref="C3:E4"/>
    <mergeCell ref="C174:E174"/>
    <mergeCell ref="C186:E186"/>
    <mergeCell ref="C158:E158"/>
    <mergeCell ref="C159:E159"/>
    <mergeCell ref="C160:E160"/>
    <mergeCell ref="C161:E161"/>
    <mergeCell ref="C162:E162"/>
    <mergeCell ref="C163:E163"/>
    <mergeCell ref="C164:E164"/>
    <mergeCell ref="C23:E23"/>
    <mergeCell ref="C24:E24"/>
    <mergeCell ref="C25:E25"/>
    <mergeCell ref="C26:E26"/>
    <mergeCell ref="C36:E36"/>
    <mergeCell ref="C102:E102"/>
    <mergeCell ref="C93:E93"/>
    <mergeCell ref="C94:E94"/>
    <mergeCell ref="C151:E151"/>
    <mergeCell ref="C103:E103"/>
    <mergeCell ref="C104:E104"/>
    <mergeCell ref="C95:E95"/>
    <mergeCell ref="C96:E96"/>
    <mergeCell ref="C97:E97"/>
    <mergeCell ref="C156:E156"/>
    <mergeCell ref="C166:E166"/>
    <mergeCell ref="C157:E157"/>
    <mergeCell ref="C105:E105"/>
    <mergeCell ref="C106:E106"/>
    <mergeCell ref="C144:E144"/>
    <mergeCell ref="C145:E145"/>
    <mergeCell ref="C107:E107"/>
    <mergeCell ref="C108:E108"/>
    <mergeCell ref="C154:E154"/>
    <mergeCell ref="C155:E155"/>
    <mergeCell ref="C98:E98"/>
    <mergeCell ref="C99:E99"/>
    <mergeCell ref="C100:E100"/>
    <mergeCell ref="C101:E101"/>
    <mergeCell ref="C118:E118"/>
    <mergeCell ref="C119:E119"/>
    <mergeCell ref="C120:E120"/>
    <mergeCell ref="C152:E152"/>
    <mergeCell ref="C153:E153"/>
    <mergeCell ref="C146:E146"/>
    <mergeCell ref="C147:E147"/>
    <mergeCell ref="C148:E148"/>
    <mergeCell ref="F364:I365"/>
    <mergeCell ref="F359:I361"/>
    <mergeCell ref="F349:I356"/>
    <mergeCell ref="F336:I347"/>
    <mergeCell ref="F322:I333"/>
    <mergeCell ref="F311:I319"/>
    <mergeCell ref="F301:I309"/>
    <mergeCell ref="F288:I299"/>
    <mergeCell ref="F279:I284"/>
    <mergeCell ref="F276:I276"/>
    <mergeCell ref="F271:I274"/>
    <mergeCell ref="F262:I263"/>
    <mergeCell ref="F257:I260"/>
    <mergeCell ref="F253:I254"/>
    <mergeCell ref="F243:I251"/>
    <mergeCell ref="F234:I241"/>
    <mergeCell ref="F224:I232"/>
    <mergeCell ref="F210:I218"/>
    <mergeCell ref="F61:I66"/>
    <mergeCell ref="F54:I59"/>
    <mergeCell ref="F46:I52"/>
    <mergeCell ref="F38:I44"/>
    <mergeCell ref="F27:I35"/>
    <mergeCell ref="F8:I18"/>
    <mergeCell ref="F201:I206"/>
    <mergeCell ref="F199:I199"/>
    <mergeCell ref="F189:I197"/>
    <mergeCell ref="F177:I183"/>
    <mergeCell ref="F134:I142"/>
    <mergeCell ref="F121:I132"/>
    <mergeCell ref="F109:I117"/>
    <mergeCell ref="F83:I91"/>
    <mergeCell ref="F72:I80"/>
  </mergeCells>
  <phoneticPr fontId="34" type="noConversion"/>
  <printOptions horizontalCentered="1"/>
  <pageMargins left="0.98425196850393704" right="0.39370078740157483" top="0.98425196850393704" bottom="0.98425196850393704" header="0.51181102362204722" footer="0.51181102362204722"/>
  <pageSetup paperSize="9" scale="70" orientation="portrait" r:id="rId1"/>
  <headerFooter alignWithMargins="0"/>
  <colBreaks count="1" manualBreakCount="1">
    <brk id="9" max="1048575" man="1"/>
  </colBreaks>
  <ignoredErrors>
    <ignoredError sqref="E3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ZZK </vt:lpstr>
      <vt:lpstr>DROGÓWKA</vt:lpstr>
      <vt:lpstr>DROGÓWKA!Obszar_wydruku</vt:lpstr>
      <vt:lpstr>'ZZK '!Obszar_wydruku</vt:lpstr>
      <vt:lpstr>DROGÓWKA!Tytuły_wydruku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Pośpiech</dc:creator>
  <cp:lastModifiedBy>Arkadiusz Wiśniewski</cp:lastModifiedBy>
  <cp:lastPrinted>2012-02-29T07:08:53Z</cp:lastPrinted>
  <dcterms:created xsi:type="dcterms:W3CDTF">2011-06-20T13:58:18Z</dcterms:created>
  <dcterms:modified xsi:type="dcterms:W3CDTF">2012-05-29T12:50:12Z</dcterms:modified>
</cp:coreProperties>
</file>