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Arkusz1" sheetId="1" state="hidden" r:id="rId1"/>
    <sheet name="Arkusz2" sheetId="2" state="hidden" r:id="rId2"/>
    <sheet name="Arkusz3" sheetId="3" r:id="rId3"/>
  </sheets>
  <definedNames>
    <definedName name="_xlnm.Print_Area" localSheetId="1">'Arkusz2'!$A$1:$N$49</definedName>
  </definedNames>
  <calcPr fullCalcOnLoad="1"/>
</workbook>
</file>

<file path=xl/sharedStrings.xml><?xml version="1.0" encoding="utf-8"?>
<sst xmlns="http://schemas.openxmlformats.org/spreadsheetml/2006/main" count="315" uniqueCount="124">
  <si>
    <t>L.p.</t>
  </si>
  <si>
    <t xml:space="preserve">          NAZWA ASORTYMENTU</t>
  </si>
  <si>
    <t>Jednostka miary</t>
  </si>
  <si>
    <t>Ilość</t>
  </si>
  <si>
    <t>Cena netto</t>
  </si>
  <si>
    <t>Cena brutto</t>
  </si>
  <si>
    <t>Cena brutto razem</t>
  </si>
  <si>
    <t>podział kosztów</t>
  </si>
  <si>
    <t>Koryznowej 2d,  85219</t>
  </si>
  <si>
    <t>Młyńska 18, 85295</t>
  </si>
  <si>
    <t>Zemborzycka 500+,85501</t>
  </si>
  <si>
    <t>Zemborzycka ,85502</t>
  </si>
  <si>
    <t>Grygowa 4b,85295</t>
  </si>
  <si>
    <t>Płyn do mycia szyb (opakowanie o pojemności 1litra)</t>
  </si>
  <si>
    <t>szt.</t>
  </si>
  <si>
    <t>Proszek do szorowania (opakowanie 500g)</t>
  </si>
  <si>
    <t>op</t>
  </si>
  <si>
    <t>Ścierki do podłogi ,biała (wymiary min 60x80)</t>
  </si>
  <si>
    <t>Ręczniki papierowe typu ZZ składanka(do stosowania w podajniku)- opakowanie 20x150 szt, kolor bibułki biały celuloza</t>
  </si>
  <si>
    <t>op.</t>
  </si>
  <si>
    <t>Papier toaletowy  typu jumbo o długości minimum 100m- opakowanie 12szt, dwuwarstwowy 100% celuloza gofrowany, średnica rolki 17cm, kolor bibułki biały</t>
  </si>
  <si>
    <t>Papier toaletowy  rozmiar listka 9x11cm,min. 140 listków- opakowanie 8szt, dwuwarstwowy, średnica rolki 11cm, kolor bibułki biały</t>
  </si>
  <si>
    <t>Mydło w płynie antybakteryjne opakowanie 5 litrów- do mycia rąk o właściwościach pielęgnacyjnych</t>
  </si>
  <si>
    <t>Płyn do mycia naczyń o pojemności 5 litrów</t>
  </si>
  <si>
    <t>szt</t>
  </si>
  <si>
    <t>Ścierki domowe A3</t>
  </si>
  <si>
    <t>Tabletki do zmywarki 100 szt.</t>
  </si>
  <si>
    <t>Preparat do czyszczenia zmywarek o pojemności 1 litra</t>
  </si>
  <si>
    <t>Zmywaki kuchenne A10</t>
  </si>
  <si>
    <t>Odświeżacz powietrza w aerozolu 400 ml</t>
  </si>
  <si>
    <t>Ręczniki kuchenne papierowe okrągłe białe gofrowane celuloza dwuwarstwowa 2x40 metrów</t>
  </si>
  <si>
    <t>Worki na śmieci 120 litrów A25</t>
  </si>
  <si>
    <t>Rękawice lateksowe pudrowane, jednorazowe, niejałowe rozmiar S,M, L opakowanie 100sztuk</t>
  </si>
  <si>
    <t>Mop do mycia podłóg, sznurek max</t>
  </si>
  <si>
    <t>Komplet szufelka i zmiotka</t>
  </si>
  <si>
    <t>Wiadro o pojemności 20 litrów</t>
  </si>
  <si>
    <t>Dozownik do mydła o pojemności 0,5 litrów</t>
  </si>
  <si>
    <t>Kosze na śmieci o pojemności 25 litrów</t>
  </si>
  <si>
    <t>Proszek do prania opakowanie 5 kilogramowe</t>
  </si>
  <si>
    <t>Mleczko do czyszczenia zlewozmywaków i powierzchni ceramicznych 550 ml</t>
  </si>
  <si>
    <t>Mydło toaletowe w kostce 100 gram</t>
  </si>
  <si>
    <t>Pianka do czyszczenia monitorów LCD 400 ml</t>
  </si>
  <si>
    <t>Żel antybakteryjny do rąk o pojemnośći 100 ml</t>
  </si>
  <si>
    <t>Uniwersalny szampon do włosów o pojemności 1000 ml</t>
  </si>
  <si>
    <t>Środek udrażniający do rur 1000gram</t>
  </si>
  <si>
    <t>Szczotka do WC</t>
  </si>
  <si>
    <t>Wiadro do mopa</t>
  </si>
  <si>
    <t xml:space="preserve">Ręczniki  o wymiarach śr. 19 cm i wys. 21 cm, biały 2 warstwowy, gramatura 24g/m,długość roli 160mb pakowany po 6 sztuk,  rolka  wykonany z tektury  zakończony dwoma plastikowymi końcówkami umożliwiające zawieszenie ręcznika w podajników </t>
  </si>
  <si>
    <t>Wiadro o pojemności 12 litrów</t>
  </si>
  <si>
    <t>Ładowarka do akumulatorków R3,R6</t>
  </si>
  <si>
    <t>Ładowarka do akumulatorków R9</t>
  </si>
  <si>
    <t>Akumulatorki R3,minimalna pojemność 650 mAh</t>
  </si>
  <si>
    <t>Akumulatorki R6,minimalna pojemność 650 mAh</t>
  </si>
  <si>
    <t>Akumulatorki R9,minimalna pojemność 650 mAh</t>
  </si>
  <si>
    <t xml:space="preserve"> Urządzenie elektryczne systemu Ambi Pur 3volution lub podobnych parametrach </t>
  </si>
  <si>
    <t xml:space="preserve"> Zapach do urządzenia elektrycznego z(komplet z 3 zapachami pasujący do  urządzenia) w systemu Ambi Pur 3Volution  ,   (zapachy do uzgodnienia) </t>
  </si>
  <si>
    <t>sz.</t>
  </si>
  <si>
    <t xml:space="preserve">Szczotka ryżowa do terakoty </t>
  </si>
  <si>
    <t xml:space="preserve"> Zagęszczony płyn czyszcząco-dezynfekujący , wybielający. Zabijający  bakterie, wirusy i grzyby do WC- 0,75ml</t>
  </si>
  <si>
    <t>Rękawiczki robocze</t>
  </si>
  <si>
    <t>Razem</t>
  </si>
  <si>
    <t xml:space="preserve"> </t>
  </si>
  <si>
    <t>Poradnia dla Rodzin</t>
  </si>
  <si>
    <t>Dział osób Niepełnosprawnych</t>
  </si>
  <si>
    <r>
      <t>Tabletki do zmywarki 100 szt.</t>
    </r>
    <r>
      <rPr>
        <b/>
        <sz val="11"/>
        <color indexed="8"/>
        <rFont val="Calibri"/>
        <family val="2"/>
      </rPr>
      <t xml:space="preserve"> (klasy premium 10 w 1)</t>
    </r>
  </si>
  <si>
    <t>Ręczniki  o wymiarach śr. 19 cm i wys. 21 cm, biały 2 warstwowy, gramatura 24g/m,długość roli 160mb pakowany po 6 sztuk,  rolka  wykonany z tektury  zakończony dwoma plastikowymi końcówkami umożliwiające zawieszenie ręcznika w podajnikach ,pasujący do dozowników do ręczników w roli systemu Katrin</t>
  </si>
  <si>
    <t xml:space="preserve"> Płyn do dezynfekcji, błyskawicznie oraz skutecznie zwalcza bakterie, prątki, grzyby i wirusyna bazie alkocholu. Specjalny spryskiwacz ułatwia aplikację środka. Opakowanie 1000 ml.</t>
  </si>
  <si>
    <t>Sól ochronna do zmywarek 4kg</t>
  </si>
  <si>
    <t xml:space="preserve">Nabłyszczacz do zmywarek 1 litr </t>
  </si>
  <si>
    <t>Chusteczki higieniczne w pudełku 100sztuk, 3warstwowe</t>
  </si>
  <si>
    <t>WYCENA WYKONAWCY</t>
  </si>
  <si>
    <t>ZAŁĄCZNIK NR 1.1.</t>
  </si>
  <si>
    <t>jednostka miary</t>
  </si>
  <si>
    <t>Wartość  brutto</t>
  </si>
  <si>
    <t>Płyn do mycia szyb ze spryskiwaczem (opakowanie o pojemności 1litra)</t>
  </si>
  <si>
    <t>sztuki</t>
  </si>
  <si>
    <t>Ręczniki papierowe typu ZZ składanka(do stosowania w podajniku)- opakowanie 20x150 szt, kolor bibułki biały celuloza,rozmiar listka 250mmx230mm</t>
  </si>
  <si>
    <t>opakowanie</t>
  </si>
  <si>
    <t>Papier toaletowy  typu jumbo o długości minimum 100m, dwuwarstwowy 100% celuloza (2x16g/m2)gofrowany, średnica rolki 17cm, kolor bibułki biały opakowanie 12sztuk</t>
  </si>
  <si>
    <t>Ręczniki kuchenne papierowe okrągłe białe gofrowane celuloza dwuwarstwowa 2x40 metrów opakowanie 2sztuki</t>
  </si>
  <si>
    <t>Mleczko do czyszczenia zlewozmywaków i powierzchni ceramicznych minimum 700 ml</t>
  </si>
  <si>
    <t>Mydło w płynie z atomizerem minimum 300 ml</t>
  </si>
  <si>
    <t>Środek udrażniający do rur 1 Litr  środek do udrażniania rur w płynie.  Przeznaczony jest do użytku w rurach ściekowych, kanalizacyjnych i odpływowych, które zostały zapchane tłuszczem, odpadami kuchennymi, papierem, włosami, plastrami opatrunkowymi, ścierkami, czy nawet środkami higieny intymnej. Płyn może być  używać w muszlach klozetowych, pisuarach, umywalkach, odpływach do szamb i wielu innych tego typu obiektach. Środek może być stosowany również profilaktycznie przed pojawieniem się ewentualnych problemów.</t>
  </si>
  <si>
    <t>Sól ochronna do zmywarek opakowanie minimum  4kg</t>
  </si>
  <si>
    <t xml:space="preserve">Nabłyszczacz do zmywarek 0,5 litr </t>
  </si>
  <si>
    <t>Płyn do spryskiwacza szyb opakowanie minimum 4 litry letni</t>
  </si>
  <si>
    <t>Zapach samochodowy mocowany we wlot powietrza minimum 6ml.</t>
  </si>
  <si>
    <t xml:space="preserve">Ścierki 40x50 , 100% bawełna </t>
  </si>
  <si>
    <t xml:space="preserve">Ręczniki 30x50 Gramatura: minimum500g/m2,
Materiał: bawełna 100%, </t>
  </si>
  <si>
    <r>
      <t xml:space="preserve">Ręczniki  o wymiarach śr. 19 cm i wys. 21 cm, biały 2 warstwowy, gramatura 24g/m,z włókien mieszany makulaturowy 100% ,biały 80% długość roli 160mb pakowany po 6 sztuk,  rolka  wykonany z tektury  zakończony dwoma plastikowymi średnicy  końcówkami umożliwiające zawieszenie ręcznika w podajników średnicy 42mm, pasujący do systemu „ katrin”. Opakowanie 6sztuk </t>
    </r>
    <r>
      <rPr>
        <b/>
        <u val="single"/>
        <sz val="12"/>
        <color indexed="8"/>
        <rFont val="Times New Roman"/>
        <family val="1"/>
      </rPr>
      <t>nir dopuszcza się zamienników</t>
    </r>
  </si>
  <si>
    <t>Płyn do spryskiwacza szyb opakowanie minimum 4 litry zimowy,-22C</t>
  </si>
  <si>
    <t>Płyn do prania tapicerki Karcher RM 770 - 1 Litr</t>
  </si>
  <si>
    <t>Tabletki do zmywarki  min 80 szt. (klasy premium ) typu FAIRY, Finish Somat</t>
  </si>
  <si>
    <t>Pasta BHP do mycia rąk z trocinami - 500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</si>
  <si>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</si>
  <si>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</si>
  <si>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</si>
  <si>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</si>
  <si>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</si>
  <si>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</si>
  <si>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</si>
  <si>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</si>
  <si>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</si>
  <si>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</si>
  <si>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</si>
  <si>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</si>
  <si>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</si>
  <si>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</si>
  <si>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</si>
  <si>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</si>
  <si>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</si>
  <si>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</si>
  <si>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</si>
  <si>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</si>
  <si>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</si>
  <si>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</si>
  <si>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</si>
  <si>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</si>
  <si>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</si>
  <si>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</si>
  <si>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* Jeżeli Wykonawca jest uprawniony do zastosowania innej stawki podatku VAT należy dołączyć pisemne uzasadnienie zastosowania innej stawki </t>
  </si>
  <si>
    <t>Podpis uprawnionego przedstawiciela Wykonawcy</t>
  </si>
  <si>
    <t>…………………………………..</t>
  </si>
  <si>
    <t>Stawka podatku VAT: ……….. % 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</si>
</sst>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\ * #,##0.00&quot;      &quot;;\-* #,##0.00&quot;      &quot;;\ * \-#&quot;      &quot;;\ @\ "/>
    <numFmt numFmtId="166" formatCode="#,##0.0000"/>
    <numFmt numFmtId="167" formatCode="#,##0.0"/>
    <numFmt numFmtId="168" formatCode="0.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textRotation="180" wrapText="1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textRotation="180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top" textRotation="88" wrapText="1"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" fontId="6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" xfId="15" applyNumberFormat="1" applyFont="1" applyFill="1" applyBorder="1" applyAlignment="1" applyProtection="1">
      <alignment horizontal="right" vertical="top" wrapText="1"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4" fontId="7" fillId="0" borderId="2" xfId="15" applyNumberFormat="1" applyFont="1" applyFill="1" applyBorder="1" applyAlignment="1" applyProtection="1">
      <alignment vertical="top" wrapText="1"/>
      <protection/>
    </xf>
    <xf numFmtId="4" fontId="8" fillId="0" borderId="2" xfId="15" applyNumberFormat="1" applyFont="1" applyFill="1" applyBorder="1" applyAlignment="1" applyProtection="1">
      <alignment wrapText="1"/>
      <protection/>
    </xf>
    <xf numFmtId="164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4" xfId="0" applyFont="1" applyFill="1" applyBorder="1" applyAlignment="1">
      <alignment textRotation="180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2" fillId="0" borderId="1" xfId="15" applyNumberFormat="1" applyFont="1" applyFill="1" applyBorder="1" applyAlignment="1" applyProtection="1">
      <alignment horizontal="right" vertical="top" wrapText="1"/>
      <protection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180"/>
    </xf>
    <xf numFmtId="0" fontId="2" fillId="0" borderId="1" xfId="0" applyFont="1" applyBorder="1" applyAlignment="1">
      <alignment vertical="top" textRotation="18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textRotation="90" wrapText="1"/>
    </xf>
    <xf numFmtId="0" fontId="2" fillId="0" borderId="1" xfId="0" applyFont="1" applyBorder="1" applyAlignment="1">
      <alignment horizontal="right" vertical="top" textRotation="180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textRotation="90" wrapText="1"/>
    </xf>
    <xf numFmtId="0" fontId="2" fillId="0" borderId="5" xfId="0" applyFont="1" applyFill="1" applyBorder="1" applyAlignment="1">
      <alignment horizontal="center" vertical="center" textRotation="179"/>
    </xf>
    <xf numFmtId="0" fontId="2" fillId="0" borderId="5" xfId="0" applyFont="1" applyBorder="1" applyAlignment="1">
      <alignment horizontal="right" vertical="center" textRotation="180" wrapText="1"/>
    </xf>
    <xf numFmtId="0" fontId="2" fillId="0" borderId="5" xfId="0" applyFont="1" applyBorder="1" applyAlignment="1">
      <alignment vertical="center" textRotation="180" wrapText="1"/>
    </xf>
    <xf numFmtId="0" fontId="1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86" zoomScaleNormal="75" zoomScaleSheetLayoutView="86" workbookViewId="0" topLeftCell="A41">
      <selection activeCell="J48" sqref="J48"/>
    </sheetView>
  </sheetViews>
  <sheetFormatPr defaultColWidth="9.140625" defaultRowHeight="12.75" customHeight="1"/>
  <cols>
    <col min="1" max="1" width="4.7109375" style="0" customWidth="1"/>
    <col min="2" max="2" width="43.421875" style="0" customWidth="1"/>
    <col min="3" max="3" width="5.00390625" style="0" customWidth="1"/>
    <col min="4" max="4" width="6.8515625" style="0" customWidth="1"/>
    <col min="5" max="5" width="10.7109375" style="0" customWidth="1"/>
    <col min="6" max="6" width="8.8515625" style="0" customWidth="1"/>
    <col min="7" max="7" width="10.7109375" style="0" customWidth="1"/>
    <col min="8" max="8" width="9.421875" style="0" customWidth="1"/>
    <col min="9" max="9" width="10.421875" style="0" customWidth="1"/>
    <col min="10" max="10" width="13.28125" style="0" customWidth="1"/>
    <col min="11" max="11" width="11.57421875" style="0" customWidth="1"/>
    <col min="12" max="12" width="8.00390625" style="0" customWidth="1"/>
    <col min="13" max="13" width="14.7109375" style="0" customWidth="1"/>
  </cols>
  <sheetData>
    <row r="1" spans="1:12" ht="30.75" customHeight="1">
      <c r="A1" s="59" t="s">
        <v>0</v>
      </c>
      <c r="B1" s="59" t="s">
        <v>1</v>
      </c>
      <c r="C1" s="60" t="s">
        <v>2</v>
      </c>
      <c r="D1" s="61" t="s">
        <v>3</v>
      </c>
      <c r="E1" s="56" t="s">
        <v>4</v>
      </c>
      <c r="F1" s="57" t="s">
        <v>5</v>
      </c>
      <c r="G1" s="57" t="s">
        <v>6</v>
      </c>
      <c r="H1" s="58" t="s">
        <v>7</v>
      </c>
      <c r="I1" s="58"/>
      <c r="J1" s="58"/>
      <c r="K1" s="58"/>
      <c r="L1" s="58"/>
    </row>
    <row r="2" spans="1:12" ht="136.5" customHeight="1">
      <c r="A2" s="59"/>
      <c r="B2" s="59"/>
      <c r="C2" s="60"/>
      <c r="D2" s="60"/>
      <c r="E2" s="56"/>
      <c r="F2" s="57"/>
      <c r="G2" s="57"/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8" ht="16.5" customHeight="1" hidden="1">
      <c r="A3" s="5"/>
      <c r="B3" s="6"/>
      <c r="C3" s="7"/>
      <c r="D3" s="7"/>
      <c r="E3" s="56"/>
      <c r="F3" s="57"/>
      <c r="G3" s="57"/>
      <c r="H3" s="8"/>
    </row>
    <row r="4" spans="1:15" ht="32.25" customHeight="1">
      <c r="A4" s="9">
        <v>1</v>
      </c>
      <c r="B4" s="9" t="s">
        <v>13</v>
      </c>
      <c r="C4" s="9" t="s">
        <v>14</v>
      </c>
      <c r="D4" s="10">
        <v>3</v>
      </c>
      <c r="E4" s="11">
        <v>3.1</v>
      </c>
      <c r="F4" s="12">
        <f aca="true" t="shared" si="0" ref="F4:F45">SUM(E4)*1.23</f>
        <v>3.813</v>
      </c>
      <c r="G4" s="13">
        <f aca="true" t="shared" si="1" ref="G4:G45">SUM(D4*F4)</f>
        <v>11.439</v>
      </c>
      <c r="H4" s="14">
        <v>14.02</v>
      </c>
      <c r="I4" s="14">
        <f>SUM(F4*0)</f>
        <v>0</v>
      </c>
      <c r="J4" s="14">
        <f>SUM(G4*0)</f>
        <v>0</v>
      </c>
      <c r="K4" s="14">
        <f>SUM(H4*0)</f>
        <v>0</v>
      </c>
      <c r="L4" s="14">
        <v>0</v>
      </c>
      <c r="M4" s="15"/>
      <c r="N4" s="16"/>
      <c r="O4" s="16">
        <f aca="true" t="shared" si="2" ref="O4:O45">SUM(H4:L4)</f>
        <v>14.02</v>
      </c>
    </row>
    <row r="5" spans="1:15" ht="28.5" customHeight="1">
      <c r="A5" s="9">
        <v>2</v>
      </c>
      <c r="B5" s="9" t="s">
        <v>15</v>
      </c>
      <c r="C5" s="9" t="s">
        <v>16</v>
      </c>
      <c r="D5" s="10">
        <v>3</v>
      </c>
      <c r="E5" s="12">
        <v>1.42</v>
      </c>
      <c r="F5" s="12">
        <f t="shared" si="0"/>
        <v>1.7466</v>
      </c>
      <c r="G5" s="13">
        <f t="shared" si="1"/>
        <v>5.2398</v>
      </c>
      <c r="H5" s="14">
        <v>0</v>
      </c>
      <c r="I5" s="14">
        <f>SUM(F5*3)</f>
        <v>5.2398</v>
      </c>
      <c r="J5" s="14">
        <v>0</v>
      </c>
      <c r="K5" s="14">
        <f>SUM(H5*0)</f>
        <v>0</v>
      </c>
      <c r="L5" s="14"/>
      <c r="M5" s="15"/>
      <c r="N5" s="16"/>
      <c r="O5" s="16">
        <f t="shared" si="2"/>
        <v>5.2398</v>
      </c>
    </row>
    <row r="6" spans="1:15" ht="27.75" customHeight="1">
      <c r="A6" s="9">
        <v>3</v>
      </c>
      <c r="B6" s="9" t="s">
        <v>17</v>
      </c>
      <c r="C6" s="9" t="s">
        <v>14</v>
      </c>
      <c r="D6" s="10">
        <v>2</v>
      </c>
      <c r="E6" s="12">
        <v>1.44</v>
      </c>
      <c r="F6" s="12">
        <f t="shared" si="0"/>
        <v>1.7711999999999999</v>
      </c>
      <c r="G6" s="13">
        <f t="shared" si="1"/>
        <v>3.5423999999999998</v>
      </c>
      <c r="H6" s="14">
        <v>4.92</v>
      </c>
      <c r="I6" s="14">
        <f>SUM(F6*0)</f>
        <v>0</v>
      </c>
      <c r="J6" s="14">
        <f>SUM(G6*0)</f>
        <v>0</v>
      </c>
      <c r="K6" s="14">
        <f>SUM(H6*0)</f>
        <v>0</v>
      </c>
      <c r="L6" s="14">
        <v>12.3</v>
      </c>
      <c r="M6" s="15"/>
      <c r="N6" s="16"/>
      <c r="O6" s="16">
        <f t="shared" si="2"/>
        <v>17.22</v>
      </c>
    </row>
    <row r="7" spans="1:15" ht="50.25" customHeight="1">
      <c r="A7" s="9">
        <v>4</v>
      </c>
      <c r="B7" s="9" t="s">
        <v>18</v>
      </c>
      <c r="C7" s="9" t="s">
        <v>19</v>
      </c>
      <c r="D7" s="10">
        <v>1</v>
      </c>
      <c r="E7" s="12">
        <v>33.89</v>
      </c>
      <c r="F7" s="12">
        <f t="shared" si="0"/>
        <v>41.6847</v>
      </c>
      <c r="G7" s="13">
        <f t="shared" si="1"/>
        <v>41.6847</v>
      </c>
      <c r="H7" s="14"/>
      <c r="I7" s="14">
        <f>SUM(F7*0)</f>
        <v>0</v>
      </c>
      <c r="J7" s="14">
        <f>SUM(G7*0)</f>
        <v>0</v>
      </c>
      <c r="K7" s="14">
        <f>SUM(H7*0)</f>
        <v>0</v>
      </c>
      <c r="L7" s="14">
        <v>46.74</v>
      </c>
      <c r="M7" s="15"/>
      <c r="N7" s="16"/>
      <c r="O7" s="16">
        <f t="shared" si="2"/>
        <v>46.74</v>
      </c>
    </row>
    <row r="8" spans="1:18" ht="61.5" customHeight="1">
      <c r="A8" s="9">
        <v>5</v>
      </c>
      <c r="B8" s="9" t="s">
        <v>20</v>
      </c>
      <c r="C8" s="9" t="s">
        <v>14</v>
      </c>
      <c r="D8" s="10">
        <v>5300</v>
      </c>
      <c r="E8" s="12">
        <v>2</v>
      </c>
      <c r="F8" s="12">
        <f t="shared" si="0"/>
        <v>2.46</v>
      </c>
      <c r="G8" s="13">
        <f t="shared" si="1"/>
        <v>13038</v>
      </c>
      <c r="H8" s="14">
        <f>SUM(F8*432)</f>
        <v>1062.72</v>
      </c>
      <c r="I8" s="14">
        <f>SUM(F8*180)</f>
        <v>442.8</v>
      </c>
      <c r="J8" s="14">
        <f>SUM(F8*360)</f>
        <v>885.6</v>
      </c>
      <c r="K8" s="14">
        <v>1062.72</v>
      </c>
      <c r="L8" s="17">
        <v>0</v>
      </c>
      <c r="N8" s="16"/>
      <c r="O8" s="16">
        <f t="shared" si="2"/>
        <v>3453.84</v>
      </c>
      <c r="R8" s="18">
        <f>SUM(G8-O8)/12</f>
        <v>798.68</v>
      </c>
    </row>
    <row r="9" spans="1:15" ht="54" customHeight="1">
      <c r="A9" s="9">
        <v>6</v>
      </c>
      <c r="B9" s="9" t="s">
        <v>21</v>
      </c>
      <c r="C9" s="9" t="s">
        <v>14</v>
      </c>
      <c r="D9" s="10">
        <v>192</v>
      </c>
      <c r="E9" s="12">
        <v>0.36</v>
      </c>
      <c r="F9" s="12">
        <f t="shared" si="0"/>
        <v>0.44279999999999997</v>
      </c>
      <c r="G9" s="13">
        <f t="shared" si="1"/>
        <v>85.01759999999999</v>
      </c>
      <c r="H9" s="14">
        <v>153.5</v>
      </c>
      <c r="I9" s="14">
        <f>SUM(F9*0)</f>
        <v>0</v>
      </c>
      <c r="J9" s="14">
        <f>SUM(F9*0)</f>
        <v>0</v>
      </c>
      <c r="K9" s="14">
        <f>SUM(H9*0)</f>
        <v>0</v>
      </c>
      <c r="L9" s="14"/>
      <c r="M9" s="15"/>
      <c r="N9" s="16"/>
      <c r="O9" s="16">
        <f t="shared" si="2"/>
        <v>153.5</v>
      </c>
    </row>
    <row r="10" spans="1:15" ht="43.5" customHeight="1">
      <c r="A10" s="9">
        <v>7</v>
      </c>
      <c r="B10" s="9" t="s">
        <v>22</v>
      </c>
      <c r="C10" s="9" t="s">
        <v>14</v>
      </c>
      <c r="D10" s="10">
        <v>111</v>
      </c>
      <c r="E10" s="12">
        <v>6.7</v>
      </c>
      <c r="F10" s="12">
        <f t="shared" si="0"/>
        <v>8.241</v>
      </c>
      <c r="G10" s="13">
        <f t="shared" si="1"/>
        <v>914.751</v>
      </c>
      <c r="H10" s="14">
        <v>118.08</v>
      </c>
      <c r="I10" s="14">
        <f>SUM(F10*2)</f>
        <v>16.482</v>
      </c>
      <c r="J10" s="14">
        <f>SUM(F10*15)</f>
        <v>123.615</v>
      </c>
      <c r="K10" s="14">
        <f>SUM(F10*15)</f>
        <v>123.615</v>
      </c>
      <c r="L10" s="14">
        <v>29.52</v>
      </c>
      <c r="M10" s="15"/>
      <c r="N10" s="16"/>
      <c r="O10" s="16">
        <f t="shared" si="2"/>
        <v>411.312</v>
      </c>
    </row>
    <row r="11" spans="1:15" ht="27.75" customHeight="1">
      <c r="A11" s="9">
        <v>8</v>
      </c>
      <c r="B11" s="9" t="s">
        <v>23</v>
      </c>
      <c r="C11" s="9" t="s">
        <v>24</v>
      </c>
      <c r="D11" s="10">
        <v>31</v>
      </c>
      <c r="E11" s="12">
        <v>4.71</v>
      </c>
      <c r="F11" s="12">
        <f t="shared" si="0"/>
        <v>5.7932999999999995</v>
      </c>
      <c r="G11" s="13">
        <f t="shared" si="1"/>
        <v>179.5923</v>
      </c>
      <c r="H11" s="19">
        <v>22.14</v>
      </c>
      <c r="I11" s="14">
        <f>SUM(F11*5)</f>
        <v>28.966499999999996</v>
      </c>
      <c r="J11" s="14">
        <f>SUM(F11*2.5)</f>
        <v>14.483249999999998</v>
      </c>
      <c r="K11" s="14">
        <f>SUM(F11*2.5)</f>
        <v>14.483249999999998</v>
      </c>
      <c r="L11" s="20">
        <v>0</v>
      </c>
      <c r="M11" s="15"/>
      <c r="N11" s="16"/>
      <c r="O11" s="16">
        <f t="shared" si="2"/>
        <v>80.073</v>
      </c>
    </row>
    <row r="12" spans="1:15" ht="16.5" customHeight="1">
      <c r="A12" s="9">
        <v>9</v>
      </c>
      <c r="B12" s="9" t="s">
        <v>25</v>
      </c>
      <c r="C12" s="9" t="s">
        <v>14</v>
      </c>
      <c r="D12" s="10">
        <v>41</v>
      </c>
      <c r="E12" s="12">
        <v>0.79</v>
      </c>
      <c r="F12" s="12">
        <f t="shared" si="0"/>
        <v>0.9717</v>
      </c>
      <c r="G12" s="13">
        <f t="shared" si="1"/>
        <v>39.8397</v>
      </c>
      <c r="H12" s="19">
        <v>2.46</v>
      </c>
      <c r="I12" s="14">
        <f>SUM(F12*0)</f>
        <v>0</v>
      </c>
      <c r="J12" s="14">
        <f aca="true" t="shared" si="3" ref="J12:J17">SUM(F12*0)</f>
        <v>0</v>
      </c>
      <c r="K12" s="14">
        <f aca="true" t="shared" si="4" ref="K12:K17">SUM(H12*0)</f>
        <v>0</v>
      </c>
      <c r="L12" s="20">
        <v>0</v>
      </c>
      <c r="M12" s="15"/>
      <c r="N12" s="16"/>
      <c r="O12" s="16">
        <f t="shared" si="2"/>
        <v>2.46</v>
      </c>
    </row>
    <row r="13" spans="1:15" ht="22.5" customHeight="1">
      <c r="A13" s="9">
        <v>10</v>
      </c>
      <c r="B13" s="9" t="s">
        <v>26</v>
      </c>
      <c r="C13" s="9" t="s">
        <v>19</v>
      </c>
      <c r="D13" s="10">
        <v>4</v>
      </c>
      <c r="E13" s="12">
        <v>35</v>
      </c>
      <c r="F13" s="12">
        <f t="shared" si="0"/>
        <v>43.05</v>
      </c>
      <c r="G13" s="13">
        <f t="shared" si="1"/>
        <v>172.2</v>
      </c>
      <c r="H13" s="19"/>
      <c r="I13" s="14">
        <f>SUM(F13*0)</f>
        <v>0</v>
      </c>
      <c r="J13" s="14">
        <f t="shared" si="3"/>
        <v>0</v>
      </c>
      <c r="K13" s="14">
        <f t="shared" si="4"/>
        <v>0</v>
      </c>
      <c r="L13" s="20">
        <f>SUM(F13*1)</f>
        <v>43.05</v>
      </c>
      <c r="M13" s="15"/>
      <c r="N13" s="16"/>
      <c r="O13" s="16">
        <f t="shared" si="2"/>
        <v>43.05</v>
      </c>
    </row>
    <row r="14" spans="1:15" ht="36.75" customHeight="1">
      <c r="A14" s="9">
        <v>11</v>
      </c>
      <c r="B14" s="9" t="s">
        <v>27</v>
      </c>
      <c r="C14" s="9" t="s">
        <v>14</v>
      </c>
      <c r="D14" s="10">
        <v>4</v>
      </c>
      <c r="E14" s="12">
        <v>12.94</v>
      </c>
      <c r="F14" s="12">
        <f t="shared" si="0"/>
        <v>15.9162</v>
      </c>
      <c r="G14" s="13">
        <f t="shared" si="1"/>
        <v>63.6648</v>
      </c>
      <c r="H14" s="19"/>
      <c r="I14" s="19">
        <f>SUM(F14*0)</f>
        <v>0</v>
      </c>
      <c r="J14" s="14">
        <f t="shared" si="3"/>
        <v>0</v>
      </c>
      <c r="K14" s="14">
        <f t="shared" si="4"/>
        <v>0</v>
      </c>
      <c r="L14" s="19">
        <v>17.84</v>
      </c>
      <c r="M14" s="15"/>
      <c r="N14" s="16"/>
      <c r="O14" s="16">
        <f t="shared" si="2"/>
        <v>17.84</v>
      </c>
    </row>
    <row r="15" spans="1:15" ht="23.25" customHeight="1">
      <c r="A15" s="9">
        <v>12</v>
      </c>
      <c r="B15" s="9" t="s">
        <v>28</v>
      </c>
      <c r="C15" s="9" t="s">
        <v>19</v>
      </c>
      <c r="D15" s="10">
        <v>10</v>
      </c>
      <c r="E15" s="12">
        <v>1.18</v>
      </c>
      <c r="F15" s="12">
        <f t="shared" si="0"/>
        <v>1.4513999999999998</v>
      </c>
      <c r="G15" s="13">
        <f t="shared" si="1"/>
        <v>14.513999999999998</v>
      </c>
      <c r="H15" s="19">
        <v>5.54</v>
      </c>
      <c r="I15" s="19">
        <f>SUM(F15*3)</f>
        <v>4.3542</v>
      </c>
      <c r="J15" s="14">
        <f t="shared" si="3"/>
        <v>0</v>
      </c>
      <c r="K15" s="14">
        <f t="shared" si="4"/>
        <v>0</v>
      </c>
      <c r="L15" s="19">
        <v>1.84</v>
      </c>
      <c r="M15" s="15"/>
      <c r="N15" s="16"/>
      <c r="O15" s="16">
        <f t="shared" si="2"/>
        <v>11.7342</v>
      </c>
    </row>
    <row r="16" spans="1:15" ht="31.5" customHeight="1">
      <c r="A16" s="9">
        <v>13</v>
      </c>
      <c r="B16" s="9" t="s">
        <v>29</v>
      </c>
      <c r="C16" s="9" t="s">
        <v>24</v>
      </c>
      <c r="D16" s="10">
        <v>50</v>
      </c>
      <c r="E16" s="12">
        <v>3.26</v>
      </c>
      <c r="F16" s="12">
        <f t="shared" si="0"/>
        <v>4.009799999999999</v>
      </c>
      <c r="G16" s="13">
        <f t="shared" si="1"/>
        <v>200.48999999999998</v>
      </c>
      <c r="H16" s="19">
        <v>22.14</v>
      </c>
      <c r="I16" s="19">
        <f>SUM(F16*0)</f>
        <v>0</v>
      </c>
      <c r="J16" s="14">
        <f t="shared" si="3"/>
        <v>0</v>
      </c>
      <c r="K16" s="14">
        <f t="shared" si="4"/>
        <v>0</v>
      </c>
      <c r="L16" s="19">
        <v>0</v>
      </c>
      <c r="M16" s="15"/>
      <c r="N16" s="16"/>
      <c r="O16" s="16">
        <f t="shared" si="2"/>
        <v>22.14</v>
      </c>
    </row>
    <row r="17" spans="1:15" ht="45" customHeight="1">
      <c r="A17" s="9">
        <v>14</v>
      </c>
      <c r="B17" s="9" t="s">
        <v>30</v>
      </c>
      <c r="C17" s="9" t="s">
        <v>19</v>
      </c>
      <c r="D17" s="10">
        <v>53</v>
      </c>
      <c r="E17" s="12">
        <v>3.89</v>
      </c>
      <c r="F17" s="12">
        <f t="shared" si="0"/>
        <v>4.7847</v>
      </c>
      <c r="G17" s="13">
        <f t="shared" si="1"/>
        <v>253.5891</v>
      </c>
      <c r="H17" s="19">
        <v>14.76</v>
      </c>
      <c r="I17" s="19">
        <f>SUM(F17*30)</f>
        <v>143.541</v>
      </c>
      <c r="J17" s="14">
        <f t="shared" si="3"/>
        <v>0</v>
      </c>
      <c r="K17" s="14">
        <f t="shared" si="4"/>
        <v>0</v>
      </c>
      <c r="L17" s="19">
        <v>0</v>
      </c>
      <c r="M17" s="15"/>
      <c r="N17" s="16"/>
      <c r="O17" s="16">
        <f t="shared" si="2"/>
        <v>158.301</v>
      </c>
    </row>
    <row r="18" spans="1:15" ht="33.75" customHeight="1">
      <c r="A18" s="9">
        <v>15</v>
      </c>
      <c r="B18" s="9" t="s">
        <v>31</v>
      </c>
      <c r="C18" s="9" t="s">
        <v>14</v>
      </c>
      <c r="D18" s="10">
        <v>126</v>
      </c>
      <c r="E18" s="12">
        <v>4.46</v>
      </c>
      <c r="F18" s="12">
        <f t="shared" si="0"/>
        <v>5.4858</v>
      </c>
      <c r="G18" s="13">
        <f t="shared" si="1"/>
        <v>691.2108000000001</v>
      </c>
      <c r="H18" s="19">
        <v>0</v>
      </c>
      <c r="I18" s="19">
        <f>SUM(F18*30)</f>
        <v>164.574</v>
      </c>
      <c r="J18" s="14">
        <f>SUM(F18*10)</f>
        <v>54.858000000000004</v>
      </c>
      <c r="K18" s="14">
        <f>SUM(F18*10)</f>
        <v>54.858000000000004</v>
      </c>
      <c r="L18" s="19">
        <v>0</v>
      </c>
      <c r="M18" s="15"/>
      <c r="N18" s="16"/>
      <c r="O18" s="16">
        <f t="shared" si="2"/>
        <v>274.29</v>
      </c>
    </row>
    <row r="19" spans="1:15" ht="48.75" customHeight="1">
      <c r="A19" s="9">
        <v>16</v>
      </c>
      <c r="B19" s="9" t="s">
        <v>32</v>
      </c>
      <c r="C19" s="9" t="s">
        <v>19</v>
      </c>
      <c r="D19" s="10">
        <v>15</v>
      </c>
      <c r="E19" s="21">
        <v>8.9</v>
      </c>
      <c r="F19" s="12">
        <f t="shared" si="0"/>
        <v>10.947000000000001</v>
      </c>
      <c r="G19" s="13">
        <f t="shared" si="1"/>
        <v>164.205</v>
      </c>
      <c r="H19" s="19">
        <v>45.38</v>
      </c>
      <c r="I19" s="19">
        <f>SUM(F19*2)</f>
        <v>21.894000000000002</v>
      </c>
      <c r="J19" s="14">
        <f aca="true" t="shared" si="5" ref="J19:J28">SUM(F19*0)</f>
        <v>0</v>
      </c>
      <c r="K19" s="14">
        <f aca="true" t="shared" si="6" ref="K19:K28">SUM(H19*0)</f>
        <v>0</v>
      </c>
      <c r="L19" s="19">
        <v>15.13</v>
      </c>
      <c r="M19" s="15"/>
      <c r="N19" s="16"/>
      <c r="O19" s="16">
        <f t="shared" si="2"/>
        <v>82.404</v>
      </c>
    </row>
    <row r="20" spans="1:15" ht="31.5" customHeight="1">
      <c r="A20" s="9">
        <v>17</v>
      </c>
      <c r="B20" s="9" t="s">
        <v>33</v>
      </c>
      <c r="C20" s="9" t="s">
        <v>14</v>
      </c>
      <c r="D20" s="10">
        <v>11</v>
      </c>
      <c r="E20" s="12">
        <v>6.55</v>
      </c>
      <c r="F20" s="12">
        <f t="shared" si="0"/>
        <v>8.0565</v>
      </c>
      <c r="G20" s="13">
        <f t="shared" si="1"/>
        <v>88.6215</v>
      </c>
      <c r="H20" s="19">
        <v>0</v>
      </c>
      <c r="I20" s="19">
        <f>SUM(F20*10)</f>
        <v>80.565</v>
      </c>
      <c r="J20" s="14">
        <f t="shared" si="5"/>
        <v>0</v>
      </c>
      <c r="K20" s="14">
        <f t="shared" si="6"/>
        <v>0</v>
      </c>
      <c r="L20" s="19">
        <v>0</v>
      </c>
      <c r="M20" s="15"/>
      <c r="N20" s="16"/>
      <c r="O20" s="16">
        <f t="shared" si="2"/>
        <v>80.565</v>
      </c>
    </row>
    <row r="21" spans="1:15" ht="33.75" customHeight="1">
      <c r="A21" s="9">
        <v>18</v>
      </c>
      <c r="B21" s="9" t="s">
        <v>34</v>
      </c>
      <c r="C21" s="9" t="s">
        <v>14</v>
      </c>
      <c r="D21" s="10">
        <v>9</v>
      </c>
      <c r="E21" s="12">
        <v>2.35</v>
      </c>
      <c r="F21" s="12">
        <f t="shared" si="0"/>
        <v>2.8905</v>
      </c>
      <c r="G21" s="13">
        <f t="shared" si="1"/>
        <v>26.014499999999998</v>
      </c>
      <c r="H21" s="19">
        <v>4.8</v>
      </c>
      <c r="I21" s="19">
        <f>SUM(F21*0)</f>
        <v>0</v>
      </c>
      <c r="J21" s="14">
        <f t="shared" si="5"/>
        <v>0</v>
      </c>
      <c r="K21" s="14">
        <f t="shared" si="6"/>
        <v>0</v>
      </c>
      <c r="L21" s="19">
        <v>0</v>
      </c>
      <c r="M21" s="15"/>
      <c r="N21" s="16"/>
      <c r="O21" s="16">
        <f t="shared" si="2"/>
        <v>4.8</v>
      </c>
    </row>
    <row r="22" spans="1:15" ht="20.25" customHeight="1">
      <c r="A22" s="9">
        <v>19</v>
      </c>
      <c r="B22" s="9" t="s">
        <v>35</v>
      </c>
      <c r="C22" s="9" t="s">
        <v>14</v>
      </c>
      <c r="D22" s="10">
        <v>4</v>
      </c>
      <c r="E22" s="12">
        <v>5.24</v>
      </c>
      <c r="F22" s="12">
        <f t="shared" si="0"/>
        <v>6.4452</v>
      </c>
      <c r="G22" s="13">
        <f t="shared" si="1"/>
        <v>25.7808</v>
      </c>
      <c r="H22" s="19">
        <v>8.49</v>
      </c>
      <c r="I22" s="19">
        <f>SUM(F22*0)</f>
        <v>0</v>
      </c>
      <c r="J22" s="14">
        <f t="shared" si="5"/>
        <v>0</v>
      </c>
      <c r="K22" s="14">
        <f t="shared" si="6"/>
        <v>0</v>
      </c>
      <c r="L22" s="19">
        <v>0</v>
      </c>
      <c r="M22" s="15"/>
      <c r="N22" s="16"/>
      <c r="O22" s="16">
        <f t="shared" si="2"/>
        <v>8.49</v>
      </c>
    </row>
    <row r="23" spans="1:15" ht="22.5" customHeight="1">
      <c r="A23" s="9">
        <v>20</v>
      </c>
      <c r="B23" s="9" t="s">
        <v>36</v>
      </c>
      <c r="C23" s="9" t="s">
        <v>14</v>
      </c>
      <c r="D23" s="10">
        <v>3</v>
      </c>
      <c r="E23" s="12">
        <v>8.82</v>
      </c>
      <c r="F23" s="12">
        <f t="shared" si="0"/>
        <v>10.8486</v>
      </c>
      <c r="G23" s="13">
        <f t="shared" si="1"/>
        <v>32.5458</v>
      </c>
      <c r="H23" s="19">
        <v>33.21</v>
      </c>
      <c r="I23" s="19">
        <f>SUM(F23*0)</f>
        <v>0</v>
      </c>
      <c r="J23" s="14">
        <f t="shared" si="5"/>
        <v>0</v>
      </c>
      <c r="K23" s="14">
        <f t="shared" si="6"/>
        <v>0</v>
      </c>
      <c r="L23" s="19"/>
      <c r="M23" s="15"/>
      <c r="N23" s="16"/>
      <c r="O23" s="16">
        <f t="shared" si="2"/>
        <v>33.21</v>
      </c>
    </row>
    <row r="24" spans="1:15" ht="25.5" customHeight="1">
      <c r="A24" s="9">
        <v>21</v>
      </c>
      <c r="B24" s="9" t="s">
        <v>37</v>
      </c>
      <c r="C24" s="9" t="s">
        <v>14</v>
      </c>
      <c r="D24" s="10">
        <v>2</v>
      </c>
      <c r="E24" s="12">
        <v>22.44</v>
      </c>
      <c r="F24" s="12">
        <f t="shared" si="0"/>
        <v>27.601200000000002</v>
      </c>
      <c r="G24" s="13">
        <f t="shared" si="1"/>
        <v>55.202400000000004</v>
      </c>
      <c r="H24" s="19">
        <v>22.14</v>
      </c>
      <c r="I24" s="19">
        <f>SUM(F24*0)</f>
        <v>0</v>
      </c>
      <c r="J24" s="14">
        <f t="shared" si="5"/>
        <v>0</v>
      </c>
      <c r="K24" s="14">
        <f t="shared" si="6"/>
        <v>0</v>
      </c>
      <c r="L24" s="19">
        <v>0</v>
      </c>
      <c r="M24" s="15"/>
      <c r="N24" s="16"/>
      <c r="O24" s="16">
        <f t="shared" si="2"/>
        <v>22.14</v>
      </c>
    </row>
    <row r="25" spans="1:15" ht="30.75" customHeight="1">
      <c r="A25" s="9">
        <v>22</v>
      </c>
      <c r="B25" s="9" t="s">
        <v>38</v>
      </c>
      <c r="C25" s="9" t="s">
        <v>14</v>
      </c>
      <c r="D25" s="10">
        <v>27</v>
      </c>
      <c r="E25" s="12">
        <v>13.76</v>
      </c>
      <c r="F25" s="12">
        <f t="shared" si="0"/>
        <v>16.9248</v>
      </c>
      <c r="G25" s="13">
        <f t="shared" si="1"/>
        <v>456.9696</v>
      </c>
      <c r="H25" s="19"/>
      <c r="I25" s="19">
        <f>SUM(F25*20)</f>
        <v>338.49600000000004</v>
      </c>
      <c r="J25" s="14">
        <f t="shared" si="5"/>
        <v>0</v>
      </c>
      <c r="K25" s="14">
        <f t="shared" si="6"/>
        <v>0</v>
      </c>
      <c r="L25" s="19">
        <v>17.1</v>
      </c>
      <c r="M25" s="15"/>
      <c r="N25" s="16"/>
      <c r="O25" s="16">
        <f t="shared" si="2"/>
        <v>355.59600000000006</v>
      </c>
    </row>
    <row r="26" spans="1:15" ht="33" customHeight="1">
      <c r="A26" s="9">
        <v>23</v>
      </c>
      <c r="B26" s="9" t="s">
        <v>39</v>
      </c>
      <c r="C26" s="9" t="s">
        <v>14</v>
      </c>
      <c r="D26" s="10">
        <v>8</v>
      </c>
      <c r="E26" s="12">
        <v>2.76</v>
      </c>
      <c r="F26" s="12">
        <f t="shared" si="0"/>
        <v>3.3947999999999996</v>
      </c>
      <c r="G26" s="13">
        <f t="shared" si="1"/>
        <v>27.158399999999997</v>
      </c>
      <c r="H26" s="19">
        <v>4.43</v>
      </c>
      <c r="I26" s="19">
        <f>SUM(F26*0)</f>
        <v>0</v>
      </c>
      <c r="J26" s="14">
        <f t="shared" si="5"/>
        <v>0</v>
      </c>
      <c r="K26" s="14">
        <f t="shared" si="6"/>
        <v>0</v>
      </c>
      <c r="L26" s="19">
        <v>8.85</v>
      </c>
      <c r="M26" s="15"/>
      <c r="N26" s="16"/>
      <c r="O26" s="16">
        <f t="shared" si="2"/>
        <v>13.28</v>
      </c>
    </row>
    <row r="27" spans="1:15" ht="20.25" customHeight="1">
      <c r="A27" s="9">
        <v>24</v>
      </c>
      <c r="B27" s="9" t="s">
        <v>40</v>
      </c>
      <c r="C27" s="9" t="s">
        <v>14</v>
      </c>
      <c r="D27" s="10">
        <v>20</v>
      </c>
      <c r="E27" s="12">
        <v>0.77</v>
      </c>
      <c r="F27" s="12">
        <f t="shared" si="0"/>
        <v>0.9471</v>
      </c>
      <c r="G27" s="13">
        <f t="shared" si="1"/>
        <v>18.942</v>
      </c>
      <c r="H27" s="19">
        <v>11.07</v>
      </c>
      <c r="I27" s="19">
        <f>SUM(F27*0)</f>
        <v>0</v>
      </c>
      <c r="J27" s="14">
        <f t="shared" si="5"/>
        <v>0</v>
      </c>
      <c r="K27" s="14">
        <f t="shared" si="6"/>
        <v>0</v>
      </c>
      <c r="L27" s="19"/>
      <c r="M27" s="15"/>
      <c r="N27" s="16"/>
      <c r="O27" s="16">
        <f t="shared" si="2"/>
        <v>11.07</v>
      </c>
    </row>
    <row r="28" spans="1:15" ht="34.5" customHeight="1">
      <c r="A28" s="9">
        <v>25</v>
      </c>
      <c r="B28" s="9" t="s">
        <v>41</v>
      </c>
      <c r="C28" s="9" t="s">
        <v>14</v>
      </c>
      <c r="D28" s="10">
        <v>13</v>
      </c>
      <c r="E28" s="12">
        <v>12.58</v>
      </c>
      <c r="F28" s="12">
        <f t="shared" si="0"/>
        <v>15.4734</v>
      </c>
      <c r="G28" s="13">
        <f t="shared" si="1"/>
        <v>201.1542</v>
      </c>
      <c r="H28" s="19">
        <v>55.35</v>
      </c>
      <c r="I28" s="19">
        <f>SUM(F28*0)</f>
        <v>0</v>
      </c>
      <c r="J28" s="14">
        <f t="shared" si="5"/>
        <v>0</v>
      </c>
      <c r="K28" s="14">
        <f t="shared" si="6"/>
        <v>0</v>
      </c>
      <c r="L28" s="19">
        <v>0</v>
      </c>
      <c r="M28" s="15"/>
      <c r="N28" s="16"/>
      <c r="O28" s="16">
        <f t="shared" si="2"/>
        <v>55.35</v>
      </c>
    </row>
    <row r="29" spans="1:15" ht="29.25" customHeight="1">
      <c r="A29" s="9">
        <v>26</v>
      </c>
      <c r="B29" s="9" t="s">
        <v>42</v>
      </c>
      <c r="C29" s="9" t="s">
        <v>14</v>
      </c>
      <c r="D29" s="10">
        <v>28</v>
      </c>
      <c r="E29" s="12">
        <v>7.18</v>
      </c>
      <c r="F29" s="12">
        <f t="shared" si="0"/>
        <v>8.8314</v>
      </c>
      <c r="G29" s="13">
        <f t="shared" si="1"/>
        <v>247.2792</v>
      </c>
      <c r="H29" s="19">
        <v>36.9</v>
      </c>
      <c r="I29" s="19">
        <f>SUM(F29*5)</f>
        <v>44.157000000000004</v>
      </c>
      <c r="J29" s="14">
        <f>SUM(F29*5)</f>
        <v>44.157000000000004</v>
      </c>
      <c r="K29" s="14">
        <f>SUM(F29*5)</f>
        <v>44.157000000000004</v>
      </c>
      <c r="L29" s="19"/>
      <c r="M29" s="15"/>
      <c r="N29" s="16"/>
      <c r="O29" s="16">
        <f t="shared" si="2"/>
        <v>169.371</v>
      </c>
    </row>
    <row r="30" spans="1:15" ht="36" customHeight="1">
      <c r="A30" s="9">
        <v>27</v>
      </c>
      <c r="B30" s="9" t="s">
        <v>43</v>
      </c>
      <c r="C30" s="9" t="s">
        <v>14</v>
      </c>
      <c r="D30" s="10">
        <v>11</v>
      </c>
      <c r="E30" s="12">
        <v>4.26</v>
      </c>
      <c r="F30" s="12">
        <f t="shared" si="0"/>
        <v>5.2398</v>
      </c>
      <c r="G30" s="13">
        <f t="shared" si="1"/>
        <v>57.6378</v>
      </c>
      <c r="H30" s="19"/>
      <c r="I30" s="19">
        <f>SUM(F30*15)</f>
        <v>78.597</v>
      </c>
      <c r="J30" s="14">
        <f>SUM(F30*0)</f>
        <v>0</v>
      </c>
      <c r="K30" s="14">
        <f>SUM(H30*0)</f>
        <v>0</v>
      </c>
      <c r="L30" s="19"/>
      <c r="M30" s="15"/>
      <c r="N30" s="16"/>
      <c r="O30" s="16">
        <f t="shared" si="2"/>
        <v>78.597</v>
      </c>
    </row>
    <row r="31" spans="1:15" ht="20.25" customHeight="1">
      <c r="A31" s="9">
        <v>28</v>
      </c>
      <c r="B31" s="9" t="s">
        <v>44</v>
      </c>
      <c r="C31" s="9" t="s">
        <v>14</v>
      </c>
      <c r="D31" s="10">
        <v>22</v>
      </c>
      <c r="E31" s="12">
        <v>8.23</v>
      </c>
      <c r="F31" s="12">
        <f t="shared" si="0"/>
        <v>10.1229</v>
      </c>
      <c r="G31" s="13">
        <f t="shared" si="1"/>
        <v>222.7038</v>
      </c>
      <c r="H31" s="19">
        <v>20.42</v>
      </c>
      <c r="I31" s="19">
        <f>SUM(F31*10)</f>
        <v>101.229</v>
      </c>
      <c r="J31" s="14">
        <f>SUM(F31*5)</f>
        <v>50.6145</v>
      </c>
      <c r="K31" s="14">
        <f>SUM(F31*5)</f>
        <v>50.6145</v>
      </c>
      <c r="L31" s="19">
        <v>0</v>
      </c>
      <c r="M31" s="15"/>
      <c r="N31" s="16"/>
      <c r="O31" s="16">
        <f t="shared" si="2"/>
        <v>222.878</v>
      </c>
    </row>
    <row r="32" spans="1:15" ht="20.25" customHeight="1">
      <c r="A32" s="9">
        <v>29</v>
      </c>
      <c r="B32" s="9" t="s">
        <v>45</v>
      </c>
      <c r="C32" s="9" t="s">
        <v>14</v>
      </c>
      <c r="D32" s="10">
        <v>13</v>
      </c>
      <c r="E32" s="12">
        <v>2.3</v>
      </c>
      <c r="F32" s="12">
        <f t="shared" si="0"/>
        <v>2.8289999999999997</v>
      </c>
      <c r="G32" s="13">
        <f t="shared" si="1"/>
        <v>36.776999999999994</v>
      </c>
      <c r="H32" s="19">
        <v>22.14</v>
      </c>
      <c r="I32" s="19">
        <f>SUM(F32*0)</f>
        <v>0</v>
      </c>
      <c r="J32" s="14">
        <f>SUM(F32*0)</f>
        <v>0</v>
      </c>
      <c r="K32" s="14">
        <f>SUM(H32*0)</f>
        <v>0</v>
      </c>
      <c r="L32" s="19">
        <v>0</v>
      </c>
      <c r="M32" s="15"/>
      <c r="N32" s="16"/>
      <c r="O32" s="16">
        <f t="shared" si="2"/>
        <v>22.14</v>
      </c>
    </row>
    <row r="33" spans="1:15" ht="22.5" customHeight="1">
      <c r="A33" s="9">
        <v>30</v>
      </c>
      <c r="B33" s="9" t="s">
        <v>46</v>
      </c>
      <c r="C33" s="9" t="s">
        <v>14</v>
      </c>
      <c r="D33" s="10">
        <v>2</v>
      </c>
      <c r="E33" s="12">
        <v>8.5</v>
      </c>
      <c r="F33" s="12">
        <f t="shared" si="0"/>
        <v>10.455</v>
      </c>
      <c r="G33" s="13">
        <f t="shared" si="1"/>
        <v>20.91</v>
      </c>
      <c r="H33" s="19">
        <v>8.61</v>
      </c>
      <c r="I33" s="19">
        <f>SUM(F33*0)</f>
        <v>0</v>
      </c>
      <c r="J33" s="14">
        <f>SUM(F33*0)</f>
        <v>0</v>
      </c>
      <c r="K33" s="14">
        <f>SUM(H33*0)</f>
        <v>0</v>
      </c>
      <c r="L33" s="19">
        <v>0</v>
      </c>
      <c r="M33" s="15"/>
      <c r="N33" s="16"/>
      <c r="O33" s="16">
        <f t="shared" si="2"/>
        <v>8.61</v>
      </c>
    </row>
    <row r="34" spans="1:15" ht="92.25" customHeight="1">
      <c r="A34" s="22">
        <v>31</v>
      </c>
      <c r="B34" s="23" t="s">
        <v>47</v>
      </c>
      <c r="C34" s="22" t="s">
        <v>14</v>
      </c>
      <c r="D34" s="24">
        <v>680</v>
      </c>
      <c r="E34" s="19">
        <v>13</v>
      </c>
      <c r="F34" s="12">
        <f t="shared" si="0"/>
        <v>15.99</v>
      </c>
      <c r="G34" s="13">
        <f t="shared" si="1"/>
        <v>10873.2</v>
      </c>
      <c r="H34" s="19">
        <v>2132.82</v>
      </c>
      <c r="I34" s="19">
        <f>SUM(F34*24)</f>
        <v>383.76</v>
      </c>
      <c r="J34" s="14">
        <f>SUM(F34*45)</f>
        <v>719.55</v>
      </c>
      <c r="K34" s="14">
        <f>SUM(F34*45)</f>
        <v>719.55</v>
      </c>
      <c r="L34" s="19"/>
      <c r="M34" s="15"/>
      <c r="N34" s="16"/>
      <c r="O34" s="16">
        <f t="shared" si="2"/>
        <v>3955.6800000000003</v>
      </c>
    </row>
    <row r="35" spans="1:15" ht="23.25" customHeight="1">
      <c r="A35" s="9">
        <v>32</v>
      </c>
      <c r="B35" s="9" t="s">
        <v>48</v>
      </c>
      <c r="C35" s="9" t="s">
        <v>14</v>
      </c>
      <c r="D35" s="10">
        <v>3</v>
      </c>
      <c r="E35" s="12">
        <v>5</v>
      </c>
      <c r="F35" s="12">
        <f t="shared" si="0"/>
        <v>6.15</v>
      </c>
      <c r="G35" s="13">
        <f t="shared" si="1"/>
        <v>18.450000000000003</v>
      </c>
      <c r="H35" s="19">
        <f>SUM(F35*5)</f>
        <v>30.75</v>
      </c>
      <c r="I35" s="19">
        <f aca="true" t="shared" si="7" ref="I35:I42">SUM(F35*0)</f>
        <v>0</v>
      </c>
      <c r="J35" s="14">
        <f aca="true" t="shared" si="8" ref="J35:J45">SUM(F35*0)</f>
        <v>0</v>
      </c>
      <c r="K35" s="14">
        <f aca="true" t="shared" si="9" ref="K35:K45">SUM(H35*0)</f>
        <v>0</v>
      </c>
      <c r="L35" s="19">
        <v>0</v>
      </c>
      <c r="M35" s="15"/>
      <c r="N35" s="16"/>
      <c r="O35" s="16">
        <f t="shared" si="2"/>
        <v>30.75</v>
      </c>
    </row>
    <row r="36" spans="1:15" ht="22.5" customHeight="1">
      <c r="A36" s="9">
        <v>33</v>
      </c>
      <c r="B36" s="9" t="s">
        <v>49</v>
      </c>
      <c r="C36" s="9" t="s">
        <v>14</v>
      </c>
      <c r="D36" s="10">
        <v>1</v>
      </c>
      <c r="E36" s="12">
        <v>35</v>
      </c>
      <c r="F36" s="12">
        <f t="shared" si="0"/>
        <v>43.05</v>
      </c>
      <c r="G36" s="13">
        <f t="shared" si="1"/>
        <v>43.05</v>
      </c>
      <c r="H36" s="19">
        <f>SUM(F36*2)</f>
        <v>86.1</v>
      </c>
      <c r="I36" s="19">
        <f t="shared" si="7"/>
        <v>0</v>
      </c>
      <c r="J36" s="14">
        <f t="shared" si="8"/>
        <v>0</v>
      </c>
      <c r="K36" s="14">
        <f t="shared" si="9"/>
        <v>0</v>
      </c>
      <c r="L36" s="19"/>
      <c r="M36" s="15"/>
      <c r="N36" s="16"/>
      <c r="O36" s="16">
        <f t="shared" si="2"/>
        <v>86.1</v>
      </c>
    </row>
    <row r="37" spans="1:15" ht="29.25" customHeight="1">
      <c r="A37" s="9">
        <v>34</v>
      </c>
      <c r="B37" s="9" t="s">
        <v>50</v>
      </c>
      <c r="C37" s="9" t="s">
        <v>14</v>
      </c>
      <c r="D37" s="10">
        <v>1</v>
      </c>
      <c r="E37" s="12">
        <v>65</v>
      </c>
      <c r="F37" s="12">
        <f t="shared" si="0"/>
        <v>79.95</v>
      </c>
      <c r="G37" s="13">
        <f t="shared" si="1"/>
        <v>79.95</v>
      </c>
      <c r="H37" s="19">
        <v>61.5</v>
      </c>
      <c r="I37" s="19">
        <f t="shared" si="7"/>
        <v>0</v>
      </c>
      <c r="J37" s="14">
        <f t="shared" si="8"/>
        <v>0</v>
      </c>
      <c r="K37" s="14">
        <f t="shared" si="9"/>
        <v>0</v>
      </c>
      <c r="L37" s="19"/>
      <c r="M37" s="15"/>
      <c r="N37" s="16"/>
      <c r="O37" s="16">
        <f t="shared" si="2"/>
        <v>61.5</v>
      </c>
    </row>
    <row r="38" spans="1:15" ht="29.25" customHeight="1">
      <c r="A38" s="9">
        <v>35</v>
      </c>
      <c r="B38" s="9" t="s">
        <v>51</v>
      </c>
      <c r="C38" s="9" t="s">
        <v>14</v>
      </c>
      <c r="D38" s="10">
        <v>1</v>
      </c>
      <c r="E38" s="12">
        <v>5.8</v>
      </c>
      <c r="F38" s="12">
        <f t="shared" si="0"/>
        <v>7.1339999999999995</v>
      </c>
      <c r="G38" s="13">
        <f t="shared" si="1"/>
        <v>7.1339999999999995</v>
      </c>
      <c r="H38" s="19">
        <v>18.45</v>
      </c>
      <c r="I38" s="19">
        <f t="shared" si="7"/>
        <v>0</v>
      </c>
      <c r="J38" s="14">
        <f t="shared" si="8"/>
        <v>0</v>
      </c>
      <c r="K38" s="14">
        <f t="shared" si="9"/>
        <v>0</v>
      </c>
      <c r="L38" s="19"/>
      <c r="M38" s="15"/>
      <c r="N38" s="16"/>
      <c r="O38" s="16">
        <f t="shared" si="2"/>
        <v>18.45</v>
      </c>
    </row>
    <row r="39" spans="1:15" ht="38.25" customHeight="1">
      <c r="A39" s="9">
        <v>36</v>
      </c>
      <c r="B39" s="9" t="s">
        <v>52</v>
      </c>
      <c r="C39" s="9" t="s">
        <v>14</v>
      </c>
      <c r="D39" s="10">
        <v>19</v>
      </c>
      <c r="E39" s="12">
        <v>7.07</v>
      </c>
      <c r="F39" s="12">
        <f t="shared" si="0"/>
        <v>8.6961</v>
      </c>
      <c r="G39" s="13">
        <f t="shared" si="1"/>
        <v>165.2259</v>
      </c>
      <c r="H39" s="19">
        <v>18.45</v>
      </c>
      <c r="I39" s="19">
        <f t="shared" si="7"/>
        <v>0</v>
      </c>
      <c r="J39" s="14">
        <f t="shared" si="8"/>
        <v>0</v>
      </c>
      <c r="K39" s="14">
        <f t="shared" si="9"/>
        <v>0</v>
      </c>
      <c r="L39" s="19"/>
      <c r="M39" s="15"/>
      <c r="N39" s="16"/>
      <c r="O39" s="16">
        <f t="shared" si="2"/>
        <v>18.45</v>
      </c>
    </row>
    <row r="40" spans="1:15" ht="32.25" customHeight="1">
      <c r="A40" s="9">
        <v>37</v>
      </c>
      <c r="B40" s="25" t="s">
        <v>53</v>
      </c>
      <c r="C40" s="9" t="s">
        <v>14</v>
      </c>
      <c r="D40" s="24">
        <v>1</v>
      </c>
      <c r="E40" s="12">
        <v>23.53</v>
      </c>
      <c r="F40" s="12">
        <f t="shared" si="0"/>
        <v>28.9419</v>
      </c>
      <c r="G40" s="13">
        <f t="shared" si="1"/>
        <v>28.9419</v>
      </c>
      <c r="H40" s="19">
        <f>G40-I40-L40</f>
        <v>28.9419</v>
      </c>
      <c r="I40" s="19">
        <f t="shared" si="7"/>
        <v>0</v>
      </c>
      <c r="J40" s="14">
        <f t="shared" si="8"/>
        <v>0</v>
      </c>
      <c r="K40" s="14">
        <f t="shared" si="9"/>
        <v>0</v>
      </c>
      <c r="L40" s="19"/>
      <c r="M40" s="15"/>
      <c r="N40" s="16"/>
      <c r="O40" s="16">
        <f t="shared" si="2"/>
        <v>28.9419</v>
      </c>
    </row>
    <row r="41" spans="1:15" ht="44.25" customHeight="1">
      <c r="A41" s="9">
        <v>38</v>
      </c>
      <c r="B41" s="25" t="s">
        <v>54</v>
      </c>
      <c r="C41" s="9" t="s">
        <v>14</v>
      </c>
      <c r="D41" s="24">
        <v>6</v>
      </c>
      <c r="E41" s="12">
        <v>18.71</v>
      </c>
      <c r="F41" s="12">
        <f t="shared" si="0"/>
        <v>23.0133</v>
      </c>
      <c r="G41" s="13">
        <f t="shared" si="1"/>
        <v>138.0798</v>
      </c>
      <c r="H41" s="19">
        <v>19.68</v>
      </c>
      <c r="I41" s="19">
        <f t="shared" si="7"/>
        <v>0</v>
      </c>
      <c r="J41" s="14">
        <f t="shared" si="8"/>
        <v>0</v>
      </c>
      <c r="K41" s="14">
        <f t="shared" si="9"/>
        <v>0</v>
      </c>
      <c r="L41" s="19"/>
      <c r="M41" s="15"/>
      <c r="N41" s="16"/>
      <c r="O41" s="16">
        <f t="shared" si="2"/>
        <v>19.68</v>
      </c>
    </row>
    <row r="42" spans="1:15" ht="57.75" customHeight="1">
      <c r="A42" s="9">
        <v>39</v>
      </c>
      <c r="B42" s="25" t="s">
        <v>55</v>
      </c>
      <c r="C42" s="9" t="s">
        <v>56</v>
      </c>
      <c r="D42" s="24">
        <v>23</v>
      </c>
      <c r="E42" s="12">
        <v>15.31</v>
      </c>
      <c r="F42" s="12">
        <f t="shared" si="0"/>
        <v>18.8313</v>
      </c>
      <c r="G42" s="13">
        <f t="shared" si="1"/>
        <v>433.1199</v>
      </c>
      <c r="H42" s="19">
        <v>98.4</v>
      </c>
      <c r="I42" s="19">
        <f t="shared" si="7"/>
        <v>0</v>
      </c>
      <c r="J42" s="14">
        <f t="shared" si="8"/>
        <v>0</v>
      </c>
      <c r="K42" s="14">
        <f t="shared" si="9"/>
        <v>0</v>
      </c>
      <c r="L42" s="19"/>
      <c r="M42" s="15"/>
      <c r="N42" s="16"/>
      <c r="O42" s="16">
        <f t="shared" si="2"/>
        <v>98.4</v>
      </c>
    </row>
    <row r="43" spans="1:15" ht="39.75" customHeight="1">
      <c r="A43" s="9">
        <v>40</v>
      </c>
      <c r="B43" s="25" t="s">
        <v>57</v>
      </c>
      <c r="C43" s="9" t="s">
        <v>56</v>
      </c>
      <c r="D43" s="24">
        <v>3</v>
      </c>
      <c r="E43" s="12">
        <v>2.42</v>
      </c>
      <c r="F43" s="12">
        <f t="shared" si="0"/>
        <v>2.9766</v>
      </c>
      <c r="G43" s="13">
        <f t="shared" si="1"/>
        <v>8.9298</v>
      </c>
      <c r="H43" s="19"/>
      <c r="I43" s="19">
        <f>SUM(F43*5)</f>
        <v>14.883</v>
      </c>
      <c r="J43" s="14">
        <f t="shared" si="8"/>
        <v>0</v>
      </c>
      <c r="K43" s="14">
        <f t="shared" si="9"/>
        <v>0</v>
      </c>
      <c r="L43" s="19"/>
      <c r="M43" s="15"/>
      <c r="N43" s="16"/>
      <c r="O43" s="16">
        <f t="shared" si="2"/>
        <v>14.883</v>
      </c>
    </row>
    <row r="44" spans="1:15" ht="57.75" customHeight="1">
      <c r="A44" s="9">
        <v>41</v>
      </c>
      <c r="B44" s="25" t="s">
        <v>58</v>
      </c>
      <c r="C44" s="9" t="s">
        <v>56</v>
      </c>
      <c r="D44" s="24">
        <v>13</v>
      </c>
      <c r="E44" s="12">
        <v>4.57</v>
      </c>
      <c r="F44" s="12">
        <f t="shared" si="0"/>
        <v>5.6211</v>
      </c>
      <c r="G44" s="13">
        <f t="shared" si="1"/>
        <v>73.07430000000001</v>
      </c>
      <c r="H44" s="19"/>
      <c r="I44" s="19">
        <f>SUM(F44*6)</f>
        <v>33.726600000000005</v>
      </c>
      <c r="J44" s="14">
        <f t="shared" si="8"/>
        <v>0</v>
      </c>
      <c r="K44" s="14">
        <f t="shared" si="9"/>
        <v>0</v>
      </c>
      <c r="L44" s="19"/>
      <c r="M44" s="15"/>
      <c r="N44" s="16"/>
      <c r="O44" s="16">
        <f t="shared" si="2"/>
        <v>33.726600000000005</v>
      </c>
    </row>
    <row r="45" spans="1:15" ht="17.25" customHeight="1">
      <c r="A45" s="9">
        <v>42</v>
      </c>
      <c r="B45" s="25" t="s">
        <v>59</v>
      </c>
      <c r="C45" s="9" t="s">
        <v>14</v>
      </c>
      <c r="D45" s="24">
        <v>31</v>
      </c>
      <c r="E45" s="12">
        <v>0.89</v>
      </c>
      <c r="F45" s="12">
        <f t="shared" si="0"/>
        <v>1.0947</v>
      </c>
      <c r="G45" s="13">
        <f t="shared" si="1"/>
        <v>33.9357</v>
      </c>
      <c r="H45" s="19">
        <v>9.84</v>
      </c>
      <c r="I45" s="19">
        <f>SUM(F45*0)</f>
        <v>0</v>
      </c>
      <c r="J45" s="14">
        <f t="shared" si="8"/>
        <v>0</v>
      </c>
      <c r="K45" s="14">
        <f t="shared" si="9"/>
        <v>0</v>
      </c>
      <c r="L45" s="19"/>
      <c r="M45" s="15"/>
      <c r="N45" s="16"/>
      <c r="O45" s="16">
        <f t="shared" si="2"/>
        <v>9.84</v>
      </c>
    </row>
    <row r="46" spans="1:16" ht="39.75" customHeight="1">
      <c r="A46" s="55" t="s">
        <v>60</v>
      </c>
      <c r="B46" s="55"/>
      <c r="C46" s="55"/>
      <c r="D46" s="55"/>
      <c r="E46" s="26"/>
      <c r="F46" s="26"/>
      <c r="G46" s="27">
        <f>SUM(G4:G45)</f>
        <v>29299.768500000006</v>
      </c>
      <c r="H46" s="28">
        <f>SUM(H4:H45)</f>
        <v>4198.1519</v>
      </c>
      <c r="I46" s="29">
        <f>SUM(I4:I45)</f>
        <v>1903.2651</v>
      </c>
      <c r="J46" s="29">
        <f>SUM(J1:J42)</f>
        <v>1892.8777499999999</v>
      </c>
      <c r="K46" s="29">
        <f>SUM(K4:K45)</f>
        <v>2069.9977499999995</v>
      </c>
      <c r="L46" s="29">
        <f>SUM(L4:L45)</f>
        <v>192.37</v>
      </c>
      <c r="M46" s="30"/>
      <c r="N46" s="16"/>
      <c r="O46" s="16"/>
      <c r="P46" s="16">
        <f>SUM(H46:L46)</f>
        <v>10256.6625</v>
      </c>
    </row>
    <row r="47" ht="15.75" customHeight="1"/>
    <row r="48" ht="15.75" customHeight="1"/>
    <row r="49" ht="15.75" customHeight="1"/>
    <row r="50" ht="15.75" customHeight="1">
      <c r="O50" s="16">
        <f>SUM(O4:O46)</f>
        <v>10256.662500000002</v>
      </c>
    </row>
    <row r="51" ht="15.75" customHeight="1"/>
    <row r="52" ht="15.75" customHeight="1">
      <c r="I52" s="16">
        <f>SUM(H46:L46)</f>
        <v>10256.6625</v>
      </c>
    </row>
    <row r="53" ht="15.75" customHeight="1">
      <c r="M53" t="s">
        <v>61</v>
      </c>
    </row>
  </sheetData>
  <sheetProtection selectLockedCells="1" selectUnlockedCells="1"/>
  <mergeCells count="9">
    <mergeCell ref="H1:L1"/>
    <mergeCell ref="A1:A2"/>
    <mergeCell ref="B1:B2"/>
    <mergeCell ref="C1:C2"/>
    <mergeCell ref="D1:D2"/>
    <mergeCell ref="A46:D46"/>
    <mergeCell ref="E1:E3"/>
    <mergeCell ref="F1:F3"/>
    <mergeCell ref="G1: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86" zoomScaleNormal="75" zoomScaleSheetLayoutView="86" workbookViewId="0" topLeftCell="B1">
      <pane ySplit="2" topLeftCell="BM33" activePane="bottomLeft" state="frozen"/>
      <selection pane="topLeft" activeCell="B1" sqref="B1"/>
      <selection pane="bottomLeft" activeCell="J53" sqref="J53"/>
    </sheetView>
  </sheetViews>
  <sheetFormatPr defaultColWidth="9.140625" defaultRowHeight="15" customHeight="1"/>
  <cols>
    <col min="2" max="2" width="40.140625" style="0" customWidth="1"/>
    <col min="3" max="3" width="5.421875" style="0" customWidth="1"/>
    <col min="4" max="4" width="6.140625" style="0" customWidth="1"/>
    <col min="7" max="8" width="9.57421875" style="0" customWidth="1"/>
    <col min="9" max="9" width="11.140625" style="0" customWidth="1"/>
    <col min="13" max="13" width="9.421875" style="0" customWidth="1"/>
    <col min="15" max="15" width="11.140625" style="0" customWidth="1"/>
    <col min="16" max="16" width="13.421875" style="0" customWidth="1"/>
    <col min="18" max="18" width="12.57421875" style="0" customWidth="1"/>
  </cols>
  <sheetData>
    <row r="1" spans="1:13" ht="27" customHeight="1">
      <c r="A1" s="59"/>
      <c r="B1" s="59" t="s">
        <v>1</v>
      </c>
      <c r="C1" s="60" t="s">
        <v>2</v>
      </c>
      <c r="D1" s="61" t="s">
        <v>3</v>
      </c>
      <c r="E1" s="56" t="s">
        <v>4</v>
      </c>
      <c r="F1" s="57" t="s">
        <v>5</v>
      </c>
      <c r="G1" s="2"/>
      <c r="H1" s="58" t="s">
        <v>7</v>
      </c>
      <c r="I1" s="58"/>
      <c r="J1" s="58"/>
      <c r="K1" s="58"/>
      <c r="L1" s="58"/>
      <c r="M1" s="58"/>
    </row>
    <row r="2" spans="1:14" ht="135.75" customHeight="1">
      <c r="A2" s="59"/>
      <c r="B2" s="59"/>
      <c r="C2" s="60"/>
      <c r="D2" s="60"/>
      <c r="E2" s="56"/>
      <c r="F2" s="57"/>
      <c r="G2" s="3" t="s">
        <v>62</v>
      </c>
      <c r="H2" s="3">
        <v>85219</v>
      </c>
      <c r="I2" s="4" t="s">
        <v>9</v>
      </c>
      <c r="J2" s="4" t="s">
        <v>63</v>
      </c>
      <c r="K2" s="4" t="s">
        <v>10</v>
      </c>
      <c r="L2" s="4" t="s">
        <v>11</v>
      </c>
      <c r="M2" s="4" t="s">
        <v>12</v>
      </c>
      <c r="N2" s="31" t="s">
        <v>14</v>
      </c>
    </row>
    <row r="3" spans="1:17" s="38" customFormat="1" ht="42" customHeight="1">
      <c r="A3" s="1">
        <v>1</v>
      </c>
      <c r="B3" s="32" t="s">
        <v>13</v>
      </c>
      <c r="C3" s="22" t="s">
        <v>14</v>
      </c>
      <c r="D3" s="33">
        <v>3</v>
      </c>
      <c r="E3" s="34">
        <f>SUM(F3)+0.2</f>
        <v>4.01</v>
      </c>
      <c r="F3" s="35">
        <v>3.81</v>
      </c>
      <c r="G3" s="19">
        <f>SUM(F3*0)</f>
        <v>0</v>
      </c>
      <c r="H3" s="19">
        <f>SUM(F3*1)+0.369</f>
        <v>4.179</v>
      </c>
      <c r="I3" s="19">
        <f>(F3*0)</f>
        <v>0</v>
      </c>
      <c r="J3" s="19"/>
      <c r="K3" s="19">
        <f aca="true" t="shared" si="0" ref="K3:K48">$J3*$F3*0.57</f>
        <v>0</v>
      </c>
      <c r="L3" s="19">
        <f aca="true" t="shared" si="1" ref="L3:L48">$J3*$F3*0.43</f>
        <v>0</v>
      </c>
      <c r="M3" s="19">
        <v>7.26</v>
      </c>
      <c r="N3" s="36">
        <f aca="true" t="shared" si="2" ref="N3:N48">SUM(G3:M3)-J3</f>
        <v>11.439</v>
      </c>
      <c r="O3" s="37">
        <v>3</v>
      </c>
      <c r="P3" s="37">
        <f>SUM(E3*O3)*1.23</f>
        <v>14.796899999999999</v>
      </c>
      <c r="Q3" s="38">
        <f aca="true" t="shared" si="3" ref="Q3:Q47">SUM(P3)-N3</f>
        <v>3.357899999999999</v>
      </c>
    </row>
    <row r="4" spans="1:17" s="38" customFormat="1" ht="42" customHeight="1">
      <c r="A4" s="39">
        <v>2</v>
      </c>
      <c r="B4" s="38" t="s">
        <v>15</v>
      </c>
      <c r="C4" s="22" t="s">
        <v>16</v>
      </c>
      <c r="D4" s="33">
        <v>5</v>
      </c>
      <c r="E4" s="34">
        <f>SUM(F4)+0.2</f>
        <v>1.95</v>
      </c>
      <c r="F4" s="35">
        <v>1.75</v>
      </c>
      <c r="G4" s="19">
        <f>SUM(F4*0)</f>
        <v>0</v>
      </c>
      <c r="H4" s="19">
        <f>SUM(F4*1)</f>
        <v>1.75</v>
      </c>
      <c r="I4" s="19">
        <f>(F4*3)-0.017</f>
        <v>5.233</v>
      </c>
      <c r="J4" s="19"/>
      <c r="K4" s="19">
        <f t="shared" si="0"/>
        <v>0</v>
      </c>
      <c r="L4" s="19">
        <f t="shared" si="1"/>
        <v>0</v>
      </c>
      <c r="M4" s="19">
        <f>(F4*1)</f>
        <v>1.75</v>
      </c>
      <c r="N4" s="38">
        <f t="shared" si="2"/>
        <v>8.733</v>
      </c>
      <c r="O4" s="37">
        <v>5</v>
      </c>
      <c r="P4" s="37">
        <f>SUM(E4*O4)*1.23</f>
        <v>11.9925</v>
      </c>
      <c r="Q4" s="38">
        <f t="shared" si="3"/>
        <v>3.259499999999999</v>
      </c>
    </row>
    <row r="5" spans="1:17" s="38" customFormat="1" ht="42" customHeight="1">
      <c r="A5" s="39">
        <v>3</v>
      </c>
      <c r="B5" s="32" t="s">
        <v>17</v>
      </c>
      <c r="C5" s="22" t="s">
        <v>14</v>
      </c>
      <c r="D5" s="33">
        <v>7</v>
      </c>
      <c r="E5" s="34">
        <f>SUM(F5)+0.2</f>
        <v>1.97</v>
      </c>
      <c r="F5" s="35">
        <v>1.77</v>
      </c>
      <c r="G5" s="19">
        <f>SUM(F5*0)</f>
        <v>0</v>
      </c>
      <c r="H5" s="19">
        <f>SUM(F5*1)</f>
        <v>1.77</v>
      </c>
      <c r="I5" s="19">
        <f>SUM(F5*1)</f>
        <v>1.77</v>
      </c>
      <c r="J5" s="19"/>
      <c r="K5" s="19">
        <f t="shared" si="0"/>
        <v>0</v>
      </c>
      <c r="L5" s="19">
        <f t="shared" si="1"/>
        <v>0</v>
      </c>
      <c r="M5" s="19">
        <f>(F5*5)</f>
        <v>8.85</v>
      </c>
      <c r="N5" s="38">
        <f t="shared" si="2"/>
        <v>12.39</v>
      </c>
      <c r="O5" s="37">
        <f>SUM(H5:I5)/F5+SUM(K5:M5)/F5</f>
        <v>7</v>
      </c>
      <c r="P5" s="37">
        <f>SUM(E5*O5)*1.23</f>
        <v>16.9617</v>
      </c>
      <c r="Q5" s="38">
        <f t="shared" si="3"/>
        <v>4.5717</v>
      </c>
    </row>
    <row r="6" spans="1:17" s="38" customFormat="1" ht="54" customHeight="1">
      <c r="A6" s="39">
        <v>4</v>
      </c>
      <c r="B6" s="32" t="s">
        <v>18</v>
      </c>
      <c r="C6" s="22" t="s">
        <v>19</v>
      </c>
      <c r="D6" s="33">
        <v>31</v>
      </c>
      <c r="E6" s="34">
        <f>SUM(F6)+0.2</f>
        <v>41.88</v>
      </c>
      <c r="F6" s="35">
        <v>41.68</v>
      </c>
      <c r="G6" s="19">
        <f>SUM(F6*0)</f>
        <v>0</v>
      </c>
      <c r="H6" s="19">
        <f>SUM(F6*1)</f>
        <v>41.68</v>
      </c>
      <c r="I6" s="19">
        <f>SUM(F6*0)</f>
        <v>0</v>
      </c>
      <c r="J6" s="19"/>
      <c r="K6" s="19">
        <f t="shared" si="0"/>
        <v>0</v>
      </c>
      <c r="L6" s="19">
        <f t="shared" si="1"/>
        <v>0</v>
      </c>
      <c r="M6" s="19">
        <f>(F6*30)</f>
        <v>1250.4</v>
      </c>
      <c r="N6" s="38">
        <f t="shared" si="2"/>
        <v>1292.0800000000002</v>
      </c>
      <c r="O6" s="37">
        <f>SUM(H6:I6)/F6+SUM(K6:M6)/F6</f>
        <v>31.000000000000004</v>
      </c>
      <c r="P6" s="37">
        <f>SUM(G6:M6)</f>
        <v>1292.0800000000002</v>
      </c>
      <c r="Q6" s="38">
        <f t="shared" si="3"/>
        <v>0</v>
      </c>
    </row>
    <row r="7" spans="1:20" s="38" customFormat="1" ht="64.5" customHeight="1">
      <c r="A7" s="39">
        <v>5</v>
      </c>
      <c r="B7" s="32" t="s">
        <v>20</v>
      </c>
      <c r="C7" s="22" t="s">
        <v>14</v>
      </c>
      <c r="D7" s="33">
        <v>5300</v>
      </c>
      <c r="E7" s="35">
        <v>2</v>
      </c>
      <c r="F7" s="40">
        <v>2.46</v>
      </c>
      <c r="G7" s="19">
        <f>SUM(F7*24)</f>
        <v>59.04</v>
      </c>
      <c r="H7" s="19">
        <f>SUM(F7*4452)-59.04</f>
        <v>10892.88</v>
      </c>
      <c r="I7" s="19">
        <f>(F7*200)</f>
        <v>492</v>
      </c>
      <c r="J7" s="19">
        <v>600</v>
      </c>
      <c r="K7" s="19">
        <f t="shared" si="0"/>
        <v>841.32</v>
      </c>
      <c r="L7" s="19">
        <f t="shared" si="1"/>
        <v>634.68</v>
      </c>
      <c r="M7" s="19">
        <f>(F7*48)</f>
        <v>118.08</v>
      </c>
      <c r="N7" s="36">
        <f t="shared" si="2"/>
        <v>13038</v>
      </c>
      <c r="O7" s="37">
        <v>5300</v>
      </c>
      <c r="P7" s="37">
        <f>SUM(E7*O7)*1.23</f>
        <v>13038</v>
      </c>
      <c r="Q7" s="38">
        <f t="shared" si="3"/>
        <v>0</v>
      </c>
      <c r="T7" s="38">
        <f>SUM(P5/F7)</f>
        <v>6.8950000000000005</v>
      </c>
    </row>
    <row r="8" spans="1:17" s="38" customFormat="1" ht="60" customHeight="1">
      <c r="A8" s="39">
        <v>6</v>
      </c>
      <c r="B8" s="32" t="s">
        <v>21</v>
      </c>
      <c r="C8" s="22" t="s">
        <v>14</v>
      </c>
      <c r="D8" s="33">
        <v>192</v>
      </c>
      <c r="E8" s="34">
        <v>0.36</v>
      </c>
      <c r="F8" s="35">
        <v>0.44</v>
      </c>
      <c r="G8" s="19">
        <f aca="true" t="shared" si="4" ref="G8:G32">SUM(F8*0)</f>
        <v>0</v>
      </c>
      <c r="H8" s="19">
        <f>SUM(F8*192)+0.096</f>
        <v>84.57600000000001</v>
      </c>
      <c r="I8" s="19">
        <f>SUM(F8*0)</f>
        <v>0</v>
      </c>
      <c r="J8" s="19"/>
      <c r="K8" s="19">
        <f t="shared" si="0"/>
        <v>0</v>
      </c>
      <c r="L8" s="19">
        <f t="shared" si="1"/>
        <v>0</v>
      </c>
      <c r="M8" s="19">
        <f>(F8*0)</f>
        <v>0</v>
      </c>
      <c r="N8" s="38">
        <f t="shared" si="2"/>
        <v>84.57600000000001</v>
      </c>
      <c r="O8" s="37">
        <v>192</v>
      </c>
      <c r="P8" s="37">
        <f>SUM(G8:M8)</f>
        <v>84.57600000000001</v>
      </c>
      <c r="Q8" s="38">
        <f t="shared" si="3"/>
        <v>0</v>
      </c>
    </row>
    <row r="9" spans="1:17" s="38" customFormat="1" ht="66.75" customHeight="1">
      <c r="A9" s="39">
        <v>7</v>
      </c>
      <c r="B9" s="32" t="s">
        <v>22</v>
      </c>
      <c r="C9" s="22" t="s">
        <v>14</v>
      </c>
      <c r="D9" s="33">
        <v>111</v>
      </c>
      <c r="E9" s="34">
        <v>6.7</v>
      </c>
      <c r="F9" s="35">
        <v>8.24</v>
      </c>
      <c r="G9" s="19">
        <f t="shared" si="4"/>
        <v>0</v>
      </c>
      <c r="H9" s="19">
        <f>SUM(F9*50)+0.4995</f>
        <v>412.4995</v>
      </c>
      <c r="I9" s="19">
        <f>SUM(F9*1)</f>
        <v>8.24</v>
      </c>
      <c r="J9" s="19">
        <v>50</v>
      </c>
      <c r="K9" s="19">
        <f t="shared" si="0"/>
        <v>234.84000000000003</v>
      </c>
      <c r="L9" s="19">
        <f t="shared" si="1"/>
        <v>177.16</v>
      </c>
      <c r="M9" s="19">
        <f>(F9*10)</f>
        <v>82.4</v>
      </c>
      <c r="N9" s="38">
        <f t="shared" si="2"/>
        <v>915.1395</v>
      </c>
      <c r="O9" s="37">
        <v>111</v>
      </c>
      <c r="P9" s="37">
        <f aca="true" t="shared" si="5" ref="P9:P48">SUM(G9:M9)-J9</f>
        <v>915.1395</v>
      </c>
      <c r="Q9" s="38">
        <f t="shared" si="3"/>
        <v>0</v>
      </c>
    </row>
    <row r="10" spans="1:17" s="38" customFormat="1" ht="42" customHeight="1">
      <c r="A10" s="39">
        <v>8</v>
      </c>
      <c r="B10" s="32" t="s">
        <v>23</v>
      </c>
      <c r="C10" s="22" t="s">
        <v>24</v>
      </c>
      <c r="D10" s="33">
        <v>31</v>
      </c>
      <c r="E10" s="35">
        <v>4.71</v>
      </c>
      <c r="F10" s="35">
        <v>5.79</v>
      </c>
      <c r="G10" s="19">
        <f t="shared" si="4"/>
        <v>0</v>
      </c>
      <c r="H10" s="19">
        <f>SUM(F10*6)+0.0775</f>
        <v>34.8175</v>
      </c>
      <c r="I10" s="19">
        <f>SUM(F10*0)</f>
        <v>0</v>
      </c>
      <c r="J10" s="19">
        <v>20</v>
      </c>
      <c r="K10" s="19">
        <f t="shared" si="0"/>
        <v>66.006</v>
      </c>
      <c r="L10" s="19">
        <f t="shared" si="1"/>
        <v>49.794</v>
      </c>
      <c r="M10" s="19">
        <f>(F10*5)</f>
        <v>28.95</v>
      </c>
      <c r="N10" s="38">
        <f t="shared" si="2"/>
        <v>179.5675</v>
      </c>
      <c r="O10" s="37">
        <v>31</v>
      </c>
      <c r="P10" s="37">
        <f t="shared" si="5"/>
        <v>179.5675</v>
      </c>
      <c r="Q10" s="38">
        <f t="shared" si="3"/>
        <v>0</v>
      </c>
    </row>
    <row r="11" spans="1:17" s="38" customFormat="1" ht="42" customHeight="1">
      <c r="A11" s="39">
        <v>9</v>
      </c>
      <c r="B11" s="32" t="s">
        <v>25</v>
      </c>
      <c r="C11" s="22" t="s">
        <v>14</v>
      </c>
      <c r="D11" s="33">
        <v>41</v>
      </c>
      <c r="E11" s="35">
        <v>0.79</v>
      </c>
      <c r="F11" s="35">
        <v>0.97</v>
      </c>
      <c r="G11" s="19">
        <f t="shared" si="4"/>
        <v>0</v>
      </c>
      <c r="H11" s="19">
        <f>SUM(F11*1)+0.0205</f>
        <v>0.9904999999999999</v>
      </c>
      <c r="I11" s="41">
        <f>SUM(F11*20)</f>
        <v>19.4</v>
      </c>
      <c r="J11" s="41"/>
      <c r="K11" s="19">
        <f t="shared" si="0"/>
        <v>0</v>
      </c>
      <c r="L11" s="19">
        <f t="shared" si="1"/>
        <v>0</v>
      </c>
      <c r="M11" s="19">
        <f>(F11*20)</f>
        <v>19.4</v>
      </c>
      <c r="N11" s="38">
        <f t="shared" si="2"/>
        <v>39.790499999999994</v>
      </c>
      <c r="O11" s="37">
        <v>41</v>
      </c>
      <c r="P11" s="37">
        <f t="shared" si="5"/>
        <v>39.790499999999994</v>
      </c>
      <c r="Q11" s="38">
        <f t="shared" si="3"/>
        <v>0</v>
      </c>
    </row>
    <row r="12" spans="1:17" s="38" customFormat="1" ht="42" customHeight="1">
      <c r="A12" s="39">
        <v>10</v>
      </c>
      <c r="B12" s="32" t="s">
        <v>64</v>
      </c>
      <c r="C12" s="22" t="s">
        <v>19</v>
      </c>
      <c r="D12" s="33">
        <v>4</v>
      </c>
      <c r="E12" s="35">
        <v>35</v>
      </c>
      <c r="F12" s="35">
        <v>43.05</v>
      </c>
      <c r="G12" s="19">
        <f t="shared" si="4"/>
        <v>0</v>
      </c>
      <c r="H12" s="19">
        <f>SUM(F12*1)</f>
        <v>43.05</v>
      </c>
      <c r="I12" s="19">
        <f>SUM(F12*0)</f>
        <v>0</v>
      </c>
      <c r="J12" s="19"/>
      <c r="K12" s="19">
        <f t="shared" si="0"/>
        <v>0</v>
      </c>
      <c r="L12" s="19">
        <f t="shared" si="1"/>
        <v>0</v>
      </c>
      <c r="M12" s="19">
        <f>(F12*3)</f>
        <v>129.14999999999998</v>
      </c>
      <c r="N12" s="38">
        <f t="shared" si="2"/>
        <v>172.2</v>
      </c>
      <c r="O12" s="37">
        <f>SUM(H12:I12)/F12+SUM(K12:M12)/F12</f>
        <v>3.9999999999999996</v>
      </c>
      <c r="P12" s="37">
        <f t="shared" si="5"/>
        <v>172.2</v>
      </c>
      <c r="Q12" s="38">
        <f t="shared" si="3"/>
        <v>0</v>
      </c>
    </row>
    <row r="13" spans="1:17" s="38" customFormat="1" ht="42" customHeight="1">
      <c r="A13" s="39">
        <v>11</v>
      </c>
      <c r="B13" s="32" t="s">
        <v>27</v>
      </c>
      <c r="C13" s="22" t="s">
        <v>14</v>
      </c>
      <c r="D13" s="33">
        <v>4</v>
      </c>
      <c r="E13" s="35">
        <v>12.94</v>
      </c>
      <c r="F13" s="35">
        <v>15.92</v>
      </c>
      <c r="G13" s="19">
        <f t="shared" si="4"/>
        <v>0</v>
      </c>
      <c r="H13" s="42">
        <f>SUM(F13*1)-0.02</f>
        <v>15.9</v>
      </c>
      <c r="I13" s="19">
        <f>SUM(F13*0)</f>
        <v>0</v>
      </c>
      <c r="J13" s="19"/>
      <c r="K13" s="19">
        <f t="shared" si="0"/>
        <v>0</v>
      </c>
      <c r="L13" s="19">
        <f t="shared" si="1"/>
        <v>0</v>
      </c>
      <c r="M13" s="19">
        <f>(F13*3)</f>
        <v>47.76</v>
      </c>
      <c r="N13" s="38">
        <f t="shared" si="2"/>
        <v>63.66</v>
      </c>
      <c r="O13" s="37">
        <v>4</v>
      </c>
      <c r="P13" s="37">
        <f t="shared" si="5"/>
        <v>63.66</v>
      </c>
      <c r="Q13" s="38">
        <f t="shared" si="3"/>
        <v>0</v>
      </c>
    </row>
    <row r="14" spans="1:17" s="38" customFormat="1" ht="42" customHeight="1">
      <c r="A14" s="39">
        <v>12</v>
      </c>
      <c r="B14" s="32" t="s">
        <v>28</v>
      </c>
      <c r="C14" s="22" t="s">
        <v>19</v>
      </c>
      <c r="D14" s="33">
        <v>10</v>
      </c>
      <c r="E14" s="34">
        <v>1.18</v>
      </c>
      <c r="F14" s="35">
        <v>1.45</v>
      </c>
      <c r="G14" s="19">
        <f t="shared" si="4"/>
        <v>0</v>
      </c>
      <c r="H14" s="19">
        <f>SUM(F14*1)</f>
        <v>1.45</v>
      </c>
      <c r="I14" s="19">
        <f>SUM(F14*4)</f>
        <v>5.8</v>
      </c>
      <c r="J14" s="19"/>
      <c r="K14" s="19">
        <f t="shared" si="0"/>
        <v>0</v>
      </c>
      <c r="L14" s="19">
        <f t="shared" si="1"/>
        <v>0</v>
      </c>
      <c r="M14" s="19">
        <f>(F14*5)+0.015</f>
        <v>7.265</v>
      </c>
      <c r="N14" s="38">
        <f t="shared" si="2"/>
        <v>14.515</v>
      </c>
      <c r="O14" s="37">
        <v>10</v>
      </c>
      <c r="P14" s="37">
        <f t="shared" si="5"/>
        <v>14.515</v>
      </c>
      <c r="Q14" s="38">
        <f t="shared" si="3"/>
        <v>0</v>
      </c>
    </row>
    <row r="15" spans="1:17" s="38" customFormat="1" ht="42" customHeight="1">
      <c r="A15" s="39">
        <v>13</v>
      </c>
      <c r="B15" s="32" t="s">
        <v>29</v>
      </c>
      <c r="C15" s="22" t="s">
        <v>24</v>
      </c>
      <c r="D15" s="33">
        <v>50</v>
      </c>
      <c r="E15" s="34">
        <v>3.26</v>
      </c>
      <c r="F15" s="35">
        <v>4.01</v>
      </c>
      <c r="G15" s="19">
        <f t="shared" si="4"/>
        <v>0</v>
      </c>
      <c r="H15" s="19">
        <f>SUM(F15*10)</f>
        <v>40.099999999999994</v>
      </c>
      <c r="I15" s="19">
        <f>SUM(F15*0)</f>
        <v>0</v>
      </c>
      <c r="J15" s="19">
        <v>25</v>
      </c>
      <c r="K15" s="19">
        <f t="shared" si="0"/>
        <v>57.142500000000005</v>
      </c>
      <c r="L15" s="19">
        <f t="shared" si="1"/>
        <v>43.1075</v>
      </c>
      <c r="M15" s="19">
        <f>(F15*15)-0.1</f>
        <v>60.05</v>
      </c>
      <c r="N15" s="38">
        <f t="shared" si="2"/>
        <v>200.40000000000003</v>
      </c>
      <c r="O15" s="37">
        <v>50</v>
      </c>
      <c r="P15" s="37">
        <f t="shared" si="5"/>
        <v>200.40000000000003</v>
      </c>
      <c r="Q15" s="38">
        <f t="shared" si="3"/>
        <v>0</v>
      </c>
    </row>
    <row r="16" spans="1:17" s="38" customFormat="1" ht="42" customHeight="1">
      <c r="A16" s="39">
        <v>14</v>
      </c>
      <c r="B16" s="32" t="s">
        <v>30</v>
      </c>
      <c r="C16" s="22" t="s">
        <v>19</v>
      </c>
      <c r="D16" s="33">
        <v>53</v>
      </c>
      <c r="E16" s="35">
        <v>3.89</v>
      </c>
      <c r="F16" s="35">
        <v>4.78</v>
      </c>
      <c r="G16" s="19">
        <f t="shared" si="4"/>
        <v>0</v>
      </c>
      <c r="H16" s="19">
        <f>SUM(F16*13)</f>
        <v>62.14</v>
      </c>
      <c r="I16" s="41">
        <f>SUM(F16*40)</f>
        <v>191.20000000000002</v>
      </c>
      <c r="J16" s="41"/>
      <c r="K16" s="19">
        <f t="shared" si="0"/>
        <v>0</v>
      </c>
      <c r="L16" s="19">
        <f t="shared" si="1"/>
        <v>0</v>
      </c>
      <c r="M16" s="19">
        <f>(F16*0)</f>
        <v>0</v>
      </c>
      <c r="N16" s="38">
        <f t="shared" si="2"/>
        <v>253.34000000000003</v>
      </c>
      <c r="O16" s="37">
        <f>SUM(H16:I16)/F16+SUM(K16:M16)/F16</f>
        <v>53.00000000000001</v>
      </c>
      <c r="P16" s="37">
        <f t="shared" si="5"/>
        <v>253.34000000000003</v>
      </c>
      <c r="Q16" s="38">
        <f t="shared" si="3"/>
        <v>0</v>
      </c>
    </row>
    <row r="17" spans="1:17" s="38" customFormat="1" ht="42" customHeight="1">
      <c r="A17" s="39">
        <v>15</v>
      </c>
      <c r="B17" s="32" t="s">
        <v>31</v>
      </c>
      <c r="C17" s="22" t="s">
        <v>14</v>
      </c>
      <c r="D17" s="33">
        <v>126</v>
      </c>
      <c r="E17" s="34">
        <v>4.46</v>
      </c>
      <c r="F17" s="35">
        <v>5.49</v>
      </c>
      <c r="G17" s="19">
        <f t="shared" si="4"/>
        <v>0</v>
      </c>
      <c r="H17" s="19">
        <f>SUM(F17*10)</f>
        <v>54.900000000000006</v>
      </c>
      <c r="I17" s="41">
        <f>SUM(F17*15)+0.378</f>
        <v>82.72800000000001</v>
      </c>
      <c r="J17" s="41">
        <v>100</v>
      </c>
      <c r="K17" s="19">
        <f t="shared" si="0"/>
        <v>312.93</v>
      </c>
      <c r="L17" s="19">
        <f t="shared" si="1"/>
        <v>236.07</v>
      </c>
      <c r="M17" s="19">
        <f>(F17*1)</f>
        <v>5.49</v>
      </c>
      <c r="N17" s="38">
        <f t="shared" si="2"/>
        <v>692.1179999999999</v>
      </c>
      <c r="O17" s="37">
        <v>126</v>
      </c>
      <c r="P17" s="37">
        <f t="shared" si="5"/>
        <v>692.1179999999999</v>
      </c>
      <c r="Q17" s="38">
        <f t="shared" si="3"/>
        <v>0</v>
      </c>
    </row>
    <row r="18" spans="1:17" s="38" customFormat="1" ht="42" customHeight="1">
      <c r="A18" s="39">
        <v>16</v>
      </c>
      <c r="B18" s="32" t="s">
        <v>32</v>
      </c>
      <c r="C18" s="22" t="s">
        <v>19</v>
      </c>
      <c r="D18" s="33">
        <v>15</v>
      </c>
      <c r="E18" s="43">
        <v>8.9</v>
      </c>
      <c r="F18" s="35">
        <v>9.61</v>
      </c>
      <c r="G18" s="19">
        <f t="shared" si="4"/>
        <v>0</v>
      </c>
      <c r="H18" s="19">
        <f>SUM(F18*10)+0.03</f>
        <v>96.13</v>
      </c>
      <c r="I18" s="19">
        <f>SUM(F18*3)</f>
        <v>28.83</v>
      </c>
      <c r="J18" s="19"/>
      <c r="K18" s="19">
        <f t="shared" si="0"/>
        <v>0</v>
      </c>
      <c r="L18" s="19">
        <f t="shared" si="1"/>
        <v>0</v>
      </c>
      <c r="M18" s="19">
        <f>(F18*2)</f>
        <v>19.22</v>
      </c>
      <c r="N18" s="38">
        <f t="shared" si="2"/>
        <v>144.18</v>
      </c>
      <c r="O18" s="37">
        <v>15</v>
      </c>
      <c r="P18" s="37">
        <f t="shared" si="5"/>
        <v>144.18</v>
      </c>
      <c r="Q18" s="38">
        <f t="shared" si="3"/>
        <v>0</v>
      </c>
    </row>
    <row r="19" spans="1:17" s="38" customFormat="1" ht="42" customHeight="1">
      <c r="A19" s="39">
        <v>17</v>
      </c>
      <c r="B19" s="32" t="s">
        <v>33</v>
      </c>
      <c r="C19" s="22" t="s">
        <v>14</v>
      </c>
      <c r="D19" s="33">
        <v>11</v>
      </c>
      <c r="E19" s="35">
        <v>6.55</v>
      </c>
      <c r="F19" s="35">
        <v>8.06</v>
      </c>
      <c r="G19" s="19">
        <f t="shared" si="4"/>
        <v>0</v>
      </c>
      <c r="H19" s="19">
        <f>SUM(F19*0)</f>
        <v>0</v>
      </c>
      <c r="I19" s="19">
        <f>SUM(F19*10)</f>
        <v>80.60000000000001</v>
      </c>
      <c r="J19" s="19"/>
      <c r="K19" s="19">
        <f t="shared" si="0"/>
        <v>0</v>
      </c>
      <c r="L19" s="19">
        <f t="shared" si="1"/>
        <v>0</v>
      </c>
      <c r="M19" s="19">
        <f>(F19*1)-0.033</f>
        <v>8.027000000000001</v>
      </c>
      <c r="N19" s="38">
        <f t="shared" si="2"/>
        <v>88.62700000000001</v>
      </c>
      <c r="O19" s="37">
        <v>11</v>
      </c>
      <c r="P19" s="37">
        <f t="shared" si="5"/>
        <v>88.62700000000001</v>
      </c>
      <c r="Q19" s="38">
        <f t="shared" si="3"/>
        <v>0</v>
      </c>
    </row>
    <row r="20" spans="1:17" s="38" customFormat="1" ht="42" customHeight="1">
      <c r="A20" s="39">
        <v>18</v>
      </c>
      <c r="B20" s="32" t="s">
        <v>34</v>
      </c>
      <c r="C20" s="22" t="s">
        <v>14</v>
      </c>
      <c r="D20" s="33">
        <v>9</v>
      </c>
      <c r="E20" s="35">
        <v>2.35</v>
      </c>
      <c r="F20" s="35">
        <v>2.89</v>
      </c>
      <c r="G20" s="19">
        <f t="shared" si="4"/>
        <v>0</v>
      </c>
      <c r="H20" s="19">
        <f>SUM(F20*1)</f>
        <v>2.89</v>
      </c>
      <c r="I20" s="19">
        <f>SUM(F20*0)</f>
        <v>0</v>
      </c>
      <c r="J20" s="19">
        <v>3</v>
      </c>
      <c r="K20" s="19">
        <f t="shared" si="0"/>
        <v>4.9419</v>
      </c>
      <c r="L20" s="19">
        <f t="shared" si="1"/>
        <v>3.7281</v>
      </c>
      <c r="M20" s="19">
        <f>(F20*5)+0.0315</f>
        <v>14.4815</v>
      </c>
      <c r="N20" s="38">
        <f t="shared" si="2"/>
        <v>26.0415</v>
      </c>
      <c r="O20" s="37">
        <v>9</v>
      </c>
      <c r="P20" s="37">
        <f t="shared" si="5"/>
        <v>26.0415</v>
      </c>
      <c r="Q20" s="38">
        <f t="shared" si="3"/>
        <v>0</v>
      </c>
    </row>
    <row r="21" spans="1:17" s="38" customFormat="1" ht="42" customHeight="1">
      <c r="A21" s="39">
        <v>19</v>
      </c>
      <c r="B21" s="32" t="s">
        <v>35</v>
      </c>
      <c r="C21" s="22" t="s">
        <v>14</v>
      </c>
      <c r="D21" s="33">
        <v>4</v>
      </c>
      <c r="E21" s="34">
        <v>5.24</v>
      </c>
      <c r="F21" s="35">
        <v>6.45</v>
      </c>
      <c r="G21" s="19">
        <f t="shared" si="4"/>
        <v>0</v>
      </c>
      <c r="H21" s="19">
        <f>SUM(F21*1)</f>
        <v>6.45</v>
      </c>
      <c r="I21" s="19">
        <f>SUM(F21*0)</f>
        <v>0</v>
      </c>
      <c r="J21" s="19">
        <v>3</v>
      </c>
      <c r="K21" s="19">
        <f t="shared" si="0"/>
        <v>11.029500000000002</v>
      </c>
      <c r="L21" s="19">
        <f t="shared" si="1"/>
        <v>8.320500000000001</v>
      </c>
      <c r="M21" s="19">
        <f>(F21*0)</f>
        <v>0</v>
      </c>
      <c r="N21" s="38">
        <f t="shared" si="2"/>
        <v>25.800000000000004</v>
      </c>
      <c r="O21" s="37">
        <f>SUM(H21:I21)/F21+SUM(K21:M21)/F21</f>
        <v>4</v>
      </c>
      <c r="P21" s="37">
        <f t="shared" si="5"/>
        <v>25.800000000000004</v>
      </c>
      <c r="Q21" s="38">
        <f t="shared" si="3"/>
        <v>0</v>
      </c>
    </row>
    <row r="22" spans="1:17" s="38" customFormat="1" ht="42" customHeight="1">
      <c r="A22" s="39">
        <v>20</v>
      </c>
      <c r="B22" s="32" t="s">
        <v>36</v>
      </c>
      <c r="C22" s="22" t="s">
        <v>14</v>
      </c>
      <c r="D22" s="33">
        <v>3</v>
      </c>
      <c r="E22" s="35">
        <v>8.82</v>
      </c>
      <c r="F22" s="35">
        <v>10.85</v>
      </c>
      <c r="G22" s="19">
        <f t="shared" si="4"/>
        <v>0</v>
      </c>
      <c r="H22" s="19">
        <f>SUM(F22*1)-0.015</f>
        <v>10.834999999999999</v>
      </c>
      <c r="I22" s="19">
        <f>SUM(F22*0)</f>
        <v>0</v>
      </c>
      <c r="J22" s="19">
        <v>2</v>
      </c>
      <c r="K22" s="19">
        <f t="shared" si="0"/>
        <v>12.369000000000002</v>
      </c>
      <c r="L22" s="19">
        <f t="shared" si="1"/>
        <v>9.331</v>
      </c>
      <c r="M22" s="19">
        <f>(F22*0)</f>
        <v>0</v>
      </c>
      <c r="N22" s="38">
        <f t="shared" si="2"/>
        <v>32.535</v>
      </c>
      <c r="O22" s="37">
        <v>3</v>
      </c>
      <c r="P22" s="37">
        <f t="shared" si="5"/>
        <v>32.535</v>
      </c>
      <c r="Q22" s="38">
        <f t="shared" si="3"/>
        <v>0</v>
      </c>
    </row>
    <row r="23" spans="1:17" s="38" customFormat="1" ht="42" customHeight="1">
      <c r="A23" s="39">
        <v>21</v>
      </c>
      <c r="B23" s="32" t="s">
        <v>37</v>
      </c>
      <c r="C23" s="22" t="s">
        <v>14</v>
      </c>
      <c r="D23" s="33">
        <v>2</v>
      </c>
      <c r="E23" s="34">
        <v>22.44</v>
      </c>
      <c r="F23" s="35">
        <v>27.6</v>
      </c>
      <c r="G23" s="19">
        <f t="shared" si="4"/>
        <v>0</v>
      </c>
      <c r="H23" s="19">
        <f>SUM(F23*2)</f>
        <v>55.2</v>
      </c>
      <c r="I23" s="19">
        <f>SUM(F23*0)</f>
        <v>0</v>
      </c>
      <c r="J23" s="19"/>
      <c r="K23" s="19">
        <f t="shared" si="0"/>
        <v>0</v>
      </c>
      <c r="L23" s="19">
        <f t="shared" si="1"/>
        <v>0</v>
      </c>
      <c r="M23" s="19">
        <f>(F23*0)</f>
        <v>0</v>
      </c>
      <c r="N23" s="38">
        <f t="shared" si="2"/>
        <v>55.2</v>
      </c>
      <c r="O23" s="37">
        <f>SUM(H23:I23)/F23+SUM(K23:M23)/F23</f>
        <v>2</v>
      </c>
      <c r="P23" s="37">
        <f t="shared" si="5"/>
        <v>55.2</v>
      </c>
      <c r="Q23" s="38">
        <f t="shared" si="3"/>
        <v>0</v>
      </c>
    </row>
    <row r="24" spans="1:17" s="38" customFormat="1" ht="42" customHeight="1">
      <c r="A24" s="39">
        <v>22</v>
      </c>
      <c r="B24" s="32" t="s">
        <v>38</v>
      </c>
      <c r="C24" s="22" t="s">
        <v>14</v>
      </c>
      <c r="D24" s="33">
        <v>27</v>
      </c>
      <c r="E24" s="34">
        <v>13.76</v>
      </c>
      <c r="F24" s="35">
        <v>16.92</v>
      </c>
      <c r="G24" s="19">
        <f t="shared" si="4"/>
        <v>0</v>
      </c>
      <c r="H24" s="19">
        <f>SUM(F24*0)</f>
        <v>0</v>
      </c>
      <c r="I24" s="44">
        <f>SUM(F24*25)</f>
        <v>423.00000000000006</v>
      </c>
      <c r="J24" s="44"/>
      <c r="K24" s="19">
        <f t="shared" si="0"/>
        <v>0</v>
      </c>
      <c r="L24" s="19">
        <f t="shared" si="1"/>
        <v>0</v>
      </c>
      <c r="M24" s="19">
        <f>(F24*2)</f>
        <v>33.84</v>
      </c>
      <c r="N24" s="38">
        <f t="shared" si="2"/>
        <v>456.84000000000003</v>
      </c>
      <c r="O24" s="37">
        <f>SUM(H24:I24)/F24+SUM(K24:M24)/F24</f>
        <v>27</v>
      </c>
      <c r="P24" s="37">
        <f t="shared" si="5"/>
        <v>456.84000000000003</v>
      </c>
      <c r="Q24" s="38">
        <f t="shared" si="3"/>
        <v>0</v>
      </c>
    </row>
    <row r="25" spans="1:17" s="38" customFormat="1" ht="42" customHeight="1">
      <c r="A25" s="39">
        <v>23</v>
      </c>
      <c r="B25" s="32" t="s">
        <v>39</v>
      </c>
      <c r="C25" s="22" t="s">
        <v>14</v>
      </c>
      <c r="D25" s="33">
        <v>8</v>
      </c>
      <c r="E25" s="35">
        <v>2.76</v>
      </c>
      <c r="F25" s="35">
        <v>3.39</v>
      </c>
      <c r="G25" s="19">
        <f t="shared" si="4"/>
        <v>0</v>
      </c>
      <c r="H25" s="19">
        <f>SUM(F25*1)</f>
        <v>3.39</v>
      </c>
      <c r="I25" s="19">
        <f>SUM(F25*5)</f>
        <v>16.95</v>
      </c>
      <c r="J25" s="19"/>
      <c r="K25" s="19">
        <f t="shared" si="0"/>
        <v>0</v>
      </c>
      <c r="L25" s="19">
        <f t="shared" si="1"/>
        <v>0</v>
      </c>
      <c r="M25" s="19">
        <f>(F25*2)-0.008</f>
        <v>6.772</v>
      </c>
      <c r="N25" s="38">
        <f t="shared" si="2"/>
        <v>27.112000000000002</v>
      </c>
      <c r="O25" s="37">
        <v>8</v>
      </c>
      <c r="P25" s="37">
        <f t="shared" si="5"/>
        <v>27.112000000000002</v>
      </c>
      <c r="Q25" s="38">
        <f t="shared" si="3"/>
        <v>0</v>
      </c>
    </row>
    <row r="26" spans="1:17" s="38" customFormat="1" ht="42" customHeight="1">
      <c r="A26" s="39">
        <v>24</v>
      </c>
      <c r="B26" s="32" t="s">
        <v>40</v>
      </c>
      <c r="C26" s="22" t="s">
        <v>14</v>
      </c>
      <c r="D26" s="33">
        <v>20</v>
      </c>
      <c r="E26" s="34">
        <v>0.77</v>
      </c>
      <c r="F26" s="35">
        <v>0.95</v>
      </c>
      <c r="G26" s="19">
        <f t="shared" si="4"/>
        <v>0</v>
      </c>
      <c r="H26" s="19">
        <f>SUM(F26*10)</f>
        <v>9.5</v>
      </c>
      <c r="I26" s="19">
        <f>SUM(F26*10)+0.02</f>
        <v>9.52</v>
      </c>
      <c r="J26" s="19"/>
      <c r="K26" s="19">
        <f t="shared" si="0"/>
        <v>0</v>
      </c>
      <c r="L26" s="19">
        <f t="shared" si="1"/>
        <v>0</v>
      </c>
      <c r="M26" s="19">
        <f>(F26*0)</f>
        <v>0</v>
      </c>
      <c r="N26" s="38">
        <f t="shared" si="2"/>
        <v>19.02</v>
      </c>
      <c r="O26" s="37">
        <v>20</v>
      </c>
      <c r="P26" s="37">
        <f t="shared" si="5"/>
        <v>19.02</v>
      </c>
      <c r="Q26" s="38">
        <f t="shared" si="3"/>
        <v>0</v>
      </c>
    </row>
    <row r="27" spans="1:17" s="38" customFormat="1" ht="42" customHeight="1">
      <c r="A27" s="39">
        <v>25</v>
      </c>
      <c r="B27" s="32" t="s">
        <v>41</v>
      </c>
      <c r="C27" s="22" t="s">
        <v>14</v>
      </c>
      <c r="D27" s="33">
        <v>13</v>
      </c>
      <c r="E27" s="34">
        <v>12.58</v>
      </c>
      <c r="F27" s="35">
        <v>15.47</v>
      </c>
      <c r="G27" s="19">
        <f t="shared" si="4"/>
        <v>0</v>
      </c>
      <c r="H27" s="19">
        <f>SUM(F27*1)</f>
        <v>15.47</v>
      </c>
      <c r="I27" s="19">
        <f>SUM(F27*0)</f>
        <v>0</v>
      </c>
      <c r="J27" s="19">
        <v>10</v>
      </c>
      <c r="K27" s="19">
        <f t="shared" si="0"/>
        <v>88.17900000000002</v>
      </c>
      <c r="L27" s="19">
        <f t="shared" si="1"/>
        <v>66.521</v>
      </c>
      <c r="M27" s="19">
        <f>(F27*2)-0.065</f>
        <v>30.875</v>
      </c>
      <c r="N27" s="38">
        <f t="shared" si="2"/>
        <v>201.04500000000002</v>
      </c>
      <c r="O27" s="37">
        <v>13</v>
      </c>
      <c r="P27" s="37">
        <f t="shared" si="5"/>
        <v>201.04500000000002</v>
      </c>
      <c r="Q27" s="38">
        <f t="shared" si="3"/>
        <v>0</v>
      </c>
    </row>
    <row r="28" spans="1:17" s="38" customFormat="1" ht="42" customHeight="1">
      <c r="A28" s="39">
        <v>26</v>
      </c>
      <c r="B28" s="32" t="s">
        <v>42</v>
      </c>
      <c r="C28" s="22" t="s">
        <v>14</v>
      </c>
      <c r="D28" s="33">
        <v>28</v>
      </c>
      <c r="E28" s="35">
        <v>7.18</v>
      </c>
      <c r="F28" s="35">
        <v>8.83</v>
      </c>
      <c r="G28" s="19">
        <f t="shared" si="4"/>
        <v>0</v>
      </c>
      <c r="H28" s="19">
        <f>SUM(F28*1)</f>
        <v>8.83</v>
      </c>
      <c r="I28" s="19">
        <f>SUM(F28*5)</f>
        <v>44.15</v>
      </c>
      <c r="J28" s="19">
        <v>20</v>
      </c>
      <c r="K28" s="19">
        <f t="shared" si="0"/>
        <v>100.662</v>
      </c>
      <c r="L28" s="19">
        <f t="shared" si="1"/>
        <v>75.938</v>
      </c>
      <c r="M28" s="19">
        <f>(F28*2)-0.14</f>
        <v>17.52</v>
      </c>
      <c r="N28" s="38">
        <f t="shared" si="2"/>
        <v>247.09999999999997</v>
      </c>
      <c r="O28" s="37">
        <v>28</v>
      </c>
      <c r="P28" s="37">
        <f t="shared" si="5"/>
        <v>247.09999999999997</v>
      </c>
      <c r="Q28" s="38">
        <f t="shared" si="3"/>
        <v>0</v>
      </c>
    </row>
    <row r="29" spans="1:17" s="38" customFormat="1" ht="42" customHeight="1">
      <c r="A29" s="39">
        <v>27</v>
      </c>
      <c r="B29" s="32" t="s">
        <v>43</v>
      </c>
      <c r="C29" s="22" t="s">
        <v>14</v>
      </c>
      <c r="D29" s="33">
        <v>11</v>
      </c>
      <c r="E29" s="34">
        <v>4.26</v>
      </c>
      <c r="F29" s="35">
        <v>5.24</v>
      </c>
      <c r="G29" s="19">
        <f t="shared" si="4"/>
        <v>0</v>
      </c>
      <c r="H29" s="19">
        <f>SUM(F29*1)+0.033</f>
        <v>5.273000000000001</v>
      </c>
      <c r="I29" s="19">
        <f>SUM(F29*10)</f>
        <v>52.400000000000006</v>
      </c>
      <c r="J29" s="19"/>
      <c r="K29" s="19">
        <f t="shared" si="0"/>
        <v>0</v>
      </c>
      <c r="L29" s="19">
        <f t="shared" si="1"/>
        <v>0</v>
      </c>
      <c r="M29" s="19">
        <f>(F29*0)</f>
        <v>0</v>
      </c>
      <c r="N29" s="38">
        <f t="shared" si="2"/>
        <v>57.67300000000001</v>
      </c>
      <c r="O29" s="37">
        <v>11</v>
      </c>
      <c r="P29" s="37">
        <f t="shared" si="5"/>
        <v>57.67300000000001</v>
      </c>
      <c r="Q29" s="38">
        <f t="shared" si="3"/>
        <v>0</v>
      </c>
    </row>
    <row r="30" spans="1:17" s="38" customFormat="1" ht="42" customHeight="1">
      <c r="A30" s="39">
        <v>28</v>
      </c>
      <c r="B30" s="32" t="s">
        <v>44</v>
      </c>
      <c r="C30" s="22" t="s">
        <v>14</v>
      </c>
      <c r="D30" s="33">
        <v>22</v>
      </c>
      <c r="E30" s="34">
        <v>8.23</v>
      </c>
      <c r="F30" s="35">
        <v>10.12</v>
      </c>
      <c r="G30" s="19">
        <f t="shared" si="4"/>
        <v>0</v>
      </c>
      <c r="H30" s="19">
        <f>SUM(F30*10)-0.11</f>
        <v>101.08999999999999</v>
      </c>
      <c r="I30" s="19">
        <f>SUM(F30*10)</f>
        <v>101.19999999999999</v>
      </c>
      <c r="J30" s="19"/>
      <c r="K30" s="19">
        <f t="shared" si="0"/>
        <v>0</v>
      </c>
      <c r="L30" s="19">
        <f t="shared" si="1"/>
        <v>0</v>
      </c>
      <c r="M30" s="19">
        <f>(F30*2)</f>
        <v>20.24</v>
      </c>
      <c r="N30" s="38">
        <f t="shared" si="2"/>
        <v>222.52999999999997</v>
      </c>
      <c r="O30" s="37">
        <v>22</v>
      </c>
      <c r="P30" s="37">
        <f t="shared" si="5"/>
        <v>222.52999999999997</v>
      </c>
      <c r="Q30" s="38">
        <f t="shared" si="3"/>
        <v>0</v>
      </c>
    </row>
    <row r="31" spans="1:17" s="38" customFormat="1" ht="42" customHeight="1">
      <c r="A31" s="39">
        <v>29</v>
      </c>
      <c r="B31" s="32" t="s">
        <v>45</v>
      </c>
      <c r="C31" s="22" t="s">
        <v>14</v>
      </c>
      <c r="D31" s="33">
        <v>13</v>
      </c>
      <c r="E31" s="34">
        <v>2.3</v>
      </c>
      <c r="F31" s="35">
        <v>2.83</v>
      </c>
      <c r="G31" s="19">
        <f t="shared" si="4"/>
        <v>0</v>
      </c>
      <c r="H31" s="19">
        <f>SUM(F31*1)</f>
        <v>2.83</v>
      </c>
      <c r="I31" s="19">
        <f aca="true" t="shared" si="6" ref="I31:I39">SUM(F31*0)</f>
        <v>0</v>
      </c>
      <c r="J31" s="19">
        <v>7</v>
      </c>
      <c r="K31" s="19">
        <f t="shared" si="0"/>
        <v>11.291700000000002</v>
      </c>
      <c r="L31" s="19">
        <f t="shared" si="1"/>
        <v>8.5183</v>
      </c>
      <c r="M31" s="19">
        <f>(F31*5)-0.0325</f>
        <v>14.1175</v>
      </c>
      <c r="N31" s="38">
        <f t="shared" si="2"/>
        <v>36.75750000000001</v>
      </c>
      <c r="O31" s="37">
        <v>13</v>
      </c>
      <c r="P31" s="37">
        <f t="shared" si="5"/>
        <v>36.75750000000001</v>
      </c>
      <c r="Q31" s="38">
        <f t="shared" si="3"/>
        <v>0</v>
      </c>
    </row>
    <row r="32" spans="1:17" s="38" customFormat="1" ht="42" customHeight="1">
      <c r="A32" s="39">
        <v>30</v>
      </c>
      <c r="B32" s="32" t="s">
        <v>46</v>
      </c>
      <c r="C32" s="22" t="s">
        <v>14</v>
      </c>
      <c r="D32" s="33">
        <v>2</v>
      </c>
      <c r="E32" s="34">
        <v>8.5</v>
      </c>
      <c r="F32" s="35">
        <v>10.46</v>
      </c>
      <c r="G32" s="19">
        <f t="shared" si="4"/>
        <v>0</v>
      </c>
      <c r="H32" s="19">
        <f>SUM(F32*1)</f>
        <v>10.46</v>
      </c>
      <c r="I32" s="19">
        <f t="shared" si="6"/>
        <v>0</v>
      </c>
      <c r="J32" s="19"/>
      <c r="K32" s="19">
        <f t="shared" si="0"/>
        <v>0</v>
      </c>
      <c r="L32" s="19">
        <f t="shared" si="1"/>
        <v>0</v>
      </c>
      <c r="M32" s="19">
        <f>(F32*1)</f>
        <v>10.46</v>
      </c>
      <c r="N32" s="38">
        <f t="shared" si="2"/>
        <v>20.92</v>
      </c>
      <c r="O32" s="37">
        <f>SUM(H32:I32)/F32+SUM(K32:M32)/F32</f>
        <v>2</v>
      </c>
      <c r="P32" s="37">
        <f t="shared" si="5"/>
        <v>20.92</v>
      </c>
      <c r="Q32" s="38">
        <f t="shared" si="3"/>
        <v>0</v>
      </c>
    </row>
    <row r="33" spans="1:17" s="38" customFormat="1" ht="111" customHeight="1">
      <c r="A33" s="39">
        <v>31</v>
      </c>
      <c r="B33" s="32" t="s">
        <v>65</v>
      </c>
      <c r="C33" s="22" t="s">
        <v>14</v>
      </c>
      <c r="D33" s="33">
        <v>680</v>
      </c>
      <c r="E33" s="19">
        <v>13</v>
      </c>
      <c r="F33" s="34">
        <v>15.99</v>
      </c>
      <c r="G33" s="19">
        <f>SUM(F33*18)</f>
        <v>287.82</v>
      </c>
      <c r="H33" s="44">
        <f>SUM(F33*476)-137.34</f>
        <v>7473.9</v>
      </c>
      <c r="I33" s="19">
        <f t="shared" si="6"/>
        <v>0</v>
      </c>
      <c r="J33" s="19">
        <v>204</v>
      </c>
      <c r="K33" s="44">
        <f t="shared" si="0"/>
        <v>1859.3172000000002</v>
      </c>
      <c r="L33" s="44">
        <f t="shared" si="1"/>
        <v>1402.6428</v>
      </c>
      <c r="M33" s="19">
        <f>(F33*0)</f>
        <v>0</v>
      </c>
      <c r="N33" s="38">
        <f t="shared" si="2"/>
        <v>11023.679999999998</v>
      </c>
      <c r="O33" s="37">
        <v>680</v>
      </c>
      <c r="P33" s="37">
        <f t="shared" si="5"/>
        <v>11023.679999999998</v>
      </c>
      <c r="Q33" s="38">
        <f t="shared" si="3"/>
        <v>0</v>
      </c>
    </row>
    <row r="34" spans="1:17" s="38" customFormat="1" ht="42" customHeight="1">
      <c r="A34" s="39">
        <v>32</v>
      </c>
      <c r="B34" s="32" t="s">
        <v>48</v>
      </c>
      <c r="C34" s="22" t="s">
        <v>14</v>
      </c>
      <c r="D34" s="33">
        <v>3</v>
      </c>
      <c r="E34" s="35">
        <v>5</v>
      </c>
      <c r="F34" s="35">
        <v>6.15</v>
      </c>
      <c r="G34" s="19">
        <f aca="true" t="shared" si="7" ref="G34:G48">SUM(F34*0)</f>
        <v>0</v>
      </c>
      <c r="H34" s="19">
        <f>SUM(F34*1)</f>
        <v>6.15</v>
      </c>
      <c r="I34" s="19">
        <f t="shared" si="6"/>
        <v>0</v>
      </c>
      <c r="J34" s="19"/>
      <c r="K34" s="19">
        <f t="shared" si="0"/>
        <v>0</v>
      </c>
      <c r="L34" s="19">
        <f t="shared" si="1"/>
        <v>0</v>
      </c>
      <c r="M34" s="19">
        <f>(F34*2)-0.0075</f>
        <v>12.2925</v>
      </c>
      <c r="N34" s="38">
        <f t="shared" si="2"/>
        <v>18.442500000000003</v>
      </c>
      <c r="O34" s="37">
        <v>3</v>
      </c>
      <c r="P34" s="37">
        <f t="shared" si="5"/>
        <v>18.442500000000003</v>
      </c>
      <c r="Q34" s="38">
        <f t="shared" si="3"/>
        <v>0</v>
      </c>
    </row>
    <row r="35" spans="1:17" s="38" customFormat="1" ht="42" customHeight="1">
      <c r="A35" s="39">
        <v>33</v>
      </c>
      <c r="B35" s="32" t="s">
        <v>49</v>
      </c>
      <c r="C35" s="22" t="s">
        <v>14</v>
      </c>
      <c r="D35" s="33">
        <v>1</v>
      </c>
      <c r="E35" s="35">
        <v>35</v>
      </c>
      <c r="F35" s="35">
        <v>43.05</v>
      </c>
      <c r="G35" s="19">
        <f t="shared" si="7"/>
        <v>0</v>
      </c>
      <c r="H35" s="19">
        <f>SUM(F35*1)</f>
        <v>43.05</v>
      </c>
      <c r="I35" s="19">
        <f t="shared" si="6"/>
        <v>0</v>
      </c>
      <c r="J35" s="19"/>
      <c r="K35" s="19">
        <f t="shared" si="0"/>
        <v>0</v>
      </c>
      <c r="L35" s="19">
        <f t="shared" si="1"/>
        <v>0</v>
      </c>
      <c r="M35" s="19">
        <f>(F35*0)</f>
        <v>0</v>
      </c>
      <c r="N35" s="38">
        <f t="shared" si="2"/>
        <v>43.05</v>
      </c>
      <c r="O35" s="37">
        <f>SUM(H35:I35)/F35+SUM(K35:M35)/F35</f>
        <v>1</v>
      </c>
      <c r="P35" s="37">
        <f t="shared" si="5"/>
        <v>43.05</v>
      </c>
      <c r="Q35" s="38">
        <f t="shared" si="3"/>
        <v>0</v>
      </c>
    </row>
    <row r="36" spans="1:17" s="38" customFormat="1" ht="42" customHeight="1">
      <c r="A36" s="39">
        <v>34</v>
      </c>
      <c r="B36" s="32" t="s">
        <v>50</v>
      </c>
      <c r="C36" s="22" t="s">
        <v>14</v>
      </c>
      <c r="D36" s="33">
        <v>1</v>
      </c>
      <c r="E36" s="35">
        <v>65</v>
      </c>
      <c r="F36" s="35">
        <v>79.95</v>
      </c>
      <c r="G36" s="19">
        <f t="shared" si="7"/>
        <v>0</v>
      </c>
      <c r="H36" s="19">
        <f>SUM(F36*1)</f>
        <v>79.95</v>
      </c>
      <c r="I36" s="19">
        <f t="shared" si="6"/>
        <v>0</v>
      </c>
      <c r="J36" s="19"/>
      <c r="K36" s="19">
        <f t="shared" si="0"/>
        <v>0</v>
      </c>
      <c r="L36" s="19">
        <f t="shared" si="1"/>
        <v>0</v>
      </c>
      <c r="M36" s="19">
        <f>(F36*0)</f>
        <v>0</v>
      </c>
      <c r="N36" s="38">
        <f t="shared" si="2"/>
        <v>79.95</v>
      </c>
      <c r="O36" s="37">
        <f>SUM(H36:I36)/F36+SUM(K36:M36)/F36</f>
        <v>1</v>
      </c>
      <c r="P36" s="37">
        <f t="shared" si="5"/>
        <v>79.95</v>
      </c>
      <c r="Q36" s="38">
        <f t="shared" si="3"/>
        <v>0</v>
      </c>
    </row>
    <row r="37" spans="1:17" s="38" customFormat="1" ht="42" customHeight="1">
      <c r="A37" s="39">
        <v>35</v>
      </c>
      <c r="B37" s="32" t="s">
        <v>51</v>
      </c>
      <c r="C37" s="22" t="s">
        <v>14</v>
      </c>
      <c r="D37" s="33">
        <v>1</v>
      </c>
      <c r="E37" s="35">
        <v>5.8</v>
      </c>
      <c r="F37" s="35">
        <v>7.13</v>
      </c>
      <c r="G37" s="19">
        <f t="shared" si="7"/>
        <v>0</v>
      </c>
      <c r="H37" s="19">
        <f>SUM(F37*1)-0.005</f>
        <v>7.125</v>
      </c>
      <c r="I37" s="19">
        <f t="shared" si="6"/>
        <v>0</v>
      </c>
      <c r="J37" s="19"/>
      <c r="K37" s="19">
        <f t="shared" si="0"/>
        <v>0</v>
      </c>
      <c r="L37" s="19">
        <f t="shared" si="1"/>
        <v>0</v>
      </c>
      <c r="M37" s="19">
        <f>(F37*0)</f>
        <v>0</v>
      </c>
      <c r="N37" s="38">
        <f t="shared" si="2"/>
        <v>7.125</v>
      </c>
      <c r="O37" s="37">
        <v>1</v>
      </c>
      <c r="P37" s="37">
        <f t="shared" si="5"/>
        <v>7.125</v>
      </c>
      <c r="Q37" s="38">
        <f t="shared" si="3"/>
        <v>0</v>
      </c>
    </row>
    <row r="38" spans="1:17" s="38" customFormat="1" ht="42" customHeight="1">
      <c r="A38" s="39">
        <v>36</v>
      </c>
      <c r="B38" s="32" t="s">
        <v>52</v>
      </c>
      <c r="C38" s="22" t="s">
        <v>14</v>
      </c>
      <c r="D38" s="33">
        <v>19</v>
      </c>
      <c r="E38" s="34">
        <v>7.07</v>
      </c>
      <c r="F38" s="35">
        <v>8.7</v>
      </c>
      <c r="G38" s="19">
        <f t="shared" si="7"/>
        <v>0</v>
      </c>
      <c r="H38" s="19">
        <f>SUM(F38*1)</f>
        <v>8.7</v>
      </c>
      <c r="I38" s="19">
        <f t="shared" si="6"/>
        <v>0</v>
      </c>
      <c r="J38" s="19">
        <v>8</v>
      </c>
      <c r="K38" s="19">
        <f t="shared" si="0"/>
        <v>39.672000000000004</v>
      </c>
      <c r="L38" s="19">
        <f t="shared" si="1"/>
        <v>29.927999999999997</v>
      </c>
      <c r="M38" s="19">
        <f>(F38*10)-0.095</f>
        <v>86.905</v>
      </c>
      <c r="N38" s="38">
        <f t="shared" si="2"/>
        <v>165.20499999999998</v>
      </c>
      <c r="O38" s="37">
        <v>19</v>
      </c>
      <c r="P38" s="37">
        <f t="shared" si="5"/>
        <v>165.20499999999998</v>
      </c>
      <c r="Q38" s="38">
        <f t="shared" si="3"/>
        <v>0</v>
      </c>
    </row>
    <row r="39" spans="1:17" s="38" customFormat="1" ht="42" customHeight="1">
      <c r="A39" s="39">
        <v>37</v>
      </c>
      <c r="B39" s="32" t="s">
        <v>53</v>
      </c>
      <c r="C39" s="22" t="s">
        <v>14</v>
      </c>
      <c r="D39" s="33">
        <v>1</v>
      </c>
      <c r="E39" s="34">
        <v>23.53</v>
      </c>
      <c r="F39" s="35">
        <v>28.94</v>
      </c>
      <c r="G39" s="19">
        <f t="shared" si="7"/>
        <v>0</v>
      </c>
      <c r="H39" s="19">
        <f>SUM(F39*1)</f>
        <v>28.94</v>
      </c>
      <c r="I39" s="19">
        <f t="shared" si="6"/>
        <v>0</v>
      </c>
      <c r="J39" s="19"/>
      <c r="K39" s="19">
        <f t="shared" si="0"/>
        <v>0</v>
      </c>
      <c r="L39" s="19">
        <f t="shared" si="1"/>
        <v>0</v>
      </c>
      <c r="M39" s="19">
        <f>(F39*0)</f>
        <v>0</v>
      </c>
      <c r="N39" s="38">
        <f t="shared" si="2"/>
        <v>28.94</v>
      </c>
      <c r="O39" s="37">
        <f>SUM(H39:I39)/F39+SUM(K39:M39)/F39</f>
        <v>1</v>
      </c>
      <c r="P39" s="37">
        <f t="shared" si="5"/>
        <v>28.94</v>
      </c>
      <c r="Q39" s="38">
        <f t="shared" si="3"/>
        <v>0</v>
      </c>
    </row>
    <row r="40" spans="1:17" s="38" customFormat="1" ht="42" customHeight="1">
      <c r="A40" s="39">
        <v>38</v>
      </c>
      <c r="B40" s="32" t="s">
        <v>54</v>
      </c>
      <c r="C40" s="22" t="s">
        <v>14</v>
      </c>
      <c r="D40" s="33">
        <v>6</v>
      </c>
      <c r="E40" s="35">
        <v>18.71</v>
      </c>
      <c r="F40" s="35">
        <v>23.01</v>
      </c>
      <c r="G40" s="19">
        <f t="shared" si="7"/>
        <v>0</v>
      </c>
      <c r="H40" s="19">
        <f>SUM(F40*1)</f>
        <v>23.01</v>
      </c>
      <c r="I40" s="19">
        <f>SUM(F40*3)-0.009</f>
        <v>69.021</v>
      </c>
      <c r="J40" s="19">
        <v>2</v>
      </c>
      <c r="K40" s="19">
        <f t="shared" si="0"/>
        <v>26.231400000000004</v>
      </c>
      <c r="L40" s="19">
        <f t="shared" si="1"/>
        <v>19.788600000000002</v>
      </c>
      <c r="M40" s="19">
        <f>(F40*0)</f>
        <v>0</v>
      </c>
      <c r="N40" s="38">
        <f t="shared" si="2"/>
        <v>138.05100000000002</v>
      </c>
      <c r="O40" s="37">
        <v>6</v>
      </c>
      <c r="P40" s="37">
        <f t="shared" si="5"/>
        <v>138.05100000000002</v>
      </c>
      <c r="Q40" s="38">
        <f t="shared" si="3"/>
        <v>0</v>
      </c>
    </row>
    <row r="41" spans="1:17" s="38" customFormat="1" ht="63" customHeight="1">
      <c r="A41" s="39">
        <v>39</v>
      </c>
      <c r="B41" s="32" t="s">
        <v>55</v>
      </c>
      <c r="C41" s="22" t="s">
        <v>56</v>
      </c>
      <c r="D41" s="33">
        <v>23</v>
      </c>
      <c r="E41" s="35">
        <v>15.31</v>
      </c>
      <c r="F41" s="35">
        <v>18.83</v>
      </c>
      <c r="G41" s="19">
        <f t="shared" si="7"/>
        <v>0</v>
      </c>
      <c r="H41" s="19">
        <f>SUM(F41*10)-0.115</f>
        <v>188.18499999999997</v>
      </c>
      <c r="I41" s="19">
        <f>SUM(F41*3)</f>
        <v>56.489999999999995</v>
      </c>
      <c r="J41" s="19">
        <v>10</v>
      </c>
      <c r="K41" s="19">
        <f t="shared" si="0"/>
        <v>107.331</v>
      </c>
      <c r="L41" s="19">
        <f t="shared" si="1"/>
        <v>80.969</v>
      </c>
      <c r="M41" s="19">
        <f>(F41*0)</f>
        <v>0</v>
      </c>
      <c r="N41" s="38">
        <f t="shared" si="2"/>
        <v>432.97499999999997</v>
      </c>
      <c r="O41" s="37">
        <v>23</v>
      </c>
      <c r="P41" s="37">
        <f t="shared" si="5"/>
        <v>432.97499999999997</v>
      </c>
      <c r="Q41" s="38">
        <f t="shared" si="3"/>
        <v>0</v>
      </c>
    </row>
    <row r="42" spans="1:17" s="38" customFormat="1" ht="42" customHeight="1">
      <c r="A42" s="39">
        <v>40</v>
      </c>
      <c r="B42" s="32" t="s">
        <v>57</v>
      </c>
      <c r="C42" s="22" t="s">
        <v>56</v>
      </c>
      <c r="D42" s="33">
        <v>3</v>
      </c>
      <c r="E42" s="34">
        <v>2.42</v>
      </c>
      <c r="F42" s="35">
        <v>2.98</v>
      </c>
      <c r="G42" s="19">
        <f t="shared" si="7"/>
        <v>0</v>
      </c>
      <c r="H42" s="19">
        <f>SUM(F42*1)+0.0075</f>
        <v>2.9875</v>
      </c>
      <c r="I42" s="19">
        <f>SUM(F42*2)</f>
        <v>5.96</v>
      </c>
      <c r="J42" s="19"/>
      <c r="K42" s="19">
        <f t="shared" si="0"/>
        <v>0</v>
      </c>
      <c r="L42" s="19">
        <f t="shared" si="1"/>
        <v>0</v>
      </c>
      <c r="M42" s="19">
        <f>(F42*0)</f>
        <v>0</v>
      </c>
      <c r="N42" s="38">
        <f t="shared" si="2"/>
        <v>8.9475</v>
      </c>
      <c r="O42" s="37">
        <v>3</v>
      </c>
      <c r="P42" s="37">
        <f t="shared" si="5"/>
        <v>8.9475</v>
      </c>
      <c r="Q42" s="38">
        <f t="shared" si="3"/>
        <v>0</v>
      </c>
    </row>
    <row r="43" spans="1:17" s="38" customFormat="1" ht="54" customHeight="1">
      <c r="A43" s="39">
        <v>41</v>
      </c>
      <c r="B43" s="32" t="s">
        <v>58</v>
      </c>
      <c r="C43" s="22" t="s">
        <v>56</v>
      </c>
      <c r="D43" s="33">
        <v>13</v>
      </c>
      <c r="E43" s="35">
        <v>4.57</v>
      </c>
      <c r="F43" s="35">
        <v>5.62</v>
      </c>
      <c r="G43" s="19">
        <f t="shared" si="7"/>
        <v>0</v>
      </c>
      <c r="H43" s="19">
        <f>SUM(F43*1)</f>
        <v>5.62</v>
      </c>
      <c r="I43" s="19">
        <f>SUM(F43*10)-0.065</f>
        <v>56.135000000000005</v>
      </c>
      <c r="J43" s="19"/>
      <c r="K43" s="19">
        <f t="shared" si="0"/>
        <v>0</v>
      </c>
      <c r="L43" s="19">
        <f t="shared" si="1"/>
        <v>0</v>
      </c>
      <c r="M43" s="19">
        <f>(F43*2)</f>
        <v>11.24</v>
      </c>
      <c r="N43" s="38">
        <f t="shared" si="2"/>
        <v>72.995</v>
      </c>
      <c r="O43" s="37">
        <v>13</v>
      </c>
      <c r="P43" s="37">
        <f t="shared" si="5"/>
        <v>72.995</v>
      </c>
      <c r="Q43" s="38">
        <f t="shared" si="3"/>
        <v>0</v>
      </c>
    </row>
    <row r="44" spans="1:17" s="38" customFormat="1" ht="42" customHeight="1">
      <c r="A44" s="39">
        <v>42</v>
      </c>
      <c r="B44" s="32" t="s">
        <v>59</v>
      </c>
      <c r="C44" s="22" t="s">
        <v>14</v>
      </c>
      <c r="D44" s="33">
        <v>31</v>
      </c>
      <c r="E44" s="34">
        <v>0.89</v>
      </c>
      <c r="F44" s="35">
        <v>1.09</v>
      </c>
      <c r="G44" s="19">
        <f t="shared" si="7"/>
        <v>0</v>
      </c>
      <c r="H44" s="19">
        <f>SUM(F44*1)-0.0155</f>
        <v>1.0745</v>
      </c>
      <c r="I44" s="19">
        <f>SUM(F44*0)</f>
        <v>0</v>
      </c>
      <c r="J44" s="19">
        <v>20</v>
      </c>
      <c r="K44" s="19">
        <f t="shared" si="0"/>
        <v>12.426000000000002</v>
      </c>
      <c r="L44" s="19">
        <f t="shared" si="1"/>
        <v>9.374</v>
      </c>
      <c r="M44" s="19">
        <f>(F44*10)</f>
        <v>10.9</v>
      </c>
      <c r="N44" s="38">
        <f t="shared" si="2"/>
        <v>33.7745</v>
      </c>
      <c r="O44" s="37">
        <v>31</v>
      </c>
      <c r="P44" s="37">
        <f t="shared" si="5"/>
        <v>33.7745</v>
      </c>
      <c r="Q44" s="38">
        <f t="shared" si="3"/>
        <v>0</v>
      </c>
    </row>
    <row r="45" spans="1:20" s="38" customFormat="1" ht="75" customHeight="1">
      <c r="A45" s="39">
        <v>43</v>
      </c>
      <c r="B45" s="32" t="s">
        <v>66</v>
      </c>
      <c r="C45" s="22" t="s">
        <v>14</v>
      </c>
      <c r="D45" s="33">
        <v>6</v>
      </c>
      <c r="E45" s="35">
        <v>20</v>
      </c>
      <c r="F45" s="35">
        <v>21.6</v>
      </c>
      <c r="G45" s="19">
        <f t="shared" si="7"/>
        <v>0</v>
      </c>
      <c r="H45" s="19">
        <f>SUM(F45*1)-0.018</f>
        <v>21.582</v>
      </c>
      <c r="I45" s="19">
        <f>SUM(F45*0)</f>
        <v>0</v>
      </c>
      <c r="J45" s="19"/>
      <c r="K45" s="19">
        <f t="shared" si="0"/>
        <v>0</v>
      </c>
      <c r="L45" s="19">
        <f t="shared" si="1"/>
        <v>0</v>
      </c>
      <c r="M45" s="19">
        <f>(F45*5)</f>
        <v>108</v>
      </c>
      <c r="N45" s="38">
        <f t="shared" si="2"/>
        <v>129.582</v>
      </c>
      <c r="O45" s="37">
        <v>6</v>
      </c>
      <c r="P45" s="37">
        <f t="shared" si="5"/>
        <v>129.582</v>
      </c>
      <c r="Q45" s="38">
        <f t="shared" si="3"/>
        <v>0</v>
      </c>
      <c r="T45" s="38">
        <f>SUM(P49)-T46</f>
        <v>7703.210900000016</v>
      </c>
    </row>
    <row r="46" spans="1:20" s="38" customFormat="1" ht="42" customHeight="1">
      <c r="A46" s="39">
        <v>44</v>
      </c>
      <c r="B46" s="32" t="s">
        <v>67</v>
      </c>
      <c r="C46" s="22" t="s">
        <v>56</v>
      </c>
      <c r="D46" s="33">
        <v>9</v>
      </c>
      <c r="E46" s="34">
        <v>22</v>
      </c>
      <c r="F46" s="35">
        <v>27.06</v>
      </c>
      <c r="G46" s="19">
        <f t="shared" si="7"/>
        <v>0</v>
      </c>
      <c r="H46" s="19">
        <f>SUM(F46*8)</f>
        <v>216.48</v>
      </c>
      <c r="I46" s="19">
        <f>SUM(F46*0)</f>
        <v>0</v>
      </c>
      <c r="J46" s="19"/>
      <c r="K46" s="19">
        <f t="shared" si="0"/>
        <v>0</v>
      </c>
      <c r="L46" s="19">
        <f t="shared" si="1"/>
        <v>0</v>
      </c>
      <c r="M46" s="19">
        <f>(F46*1)</f>
        <v>27.06</v>
      </c>
      <c r="N46" s="38">
        <f t="shared" si="2"/>
        <v>243.54</v>
      </c>
      <c r="O46" s="37">
        <f>SUM(H46:I46)/F46+SUM(K46:M46)/F46</f>
        <v>9</v>
      </c>
      <c r="P46" s="37">
        <f t="shared" si="5"/>
        <v>243.54</v>
      </c>
      <c r="Q46" s="38">
        <f t="shared" si="3"/>
        <v>0</v>
      </c>
      <c r="T46" s="38">
        <f>SUM(P3:P48)</f>
        <v>31090.566099999985</v>
      </c>
    </row>
    <row r="47" spans="1:18" s="38" customFormat="1" ht="42" customHeight="1">
      <c r="A47" s="45">
        <v>45</v>
      </c>
      <c r="B47" s="38" t="s">
        <v>68</v>
      </c>
      <c r="C47" s="38" t="s">
        <v>56</v>
      </c>
      <c r="D47" s="33">
        <v>2</v>
      </c>
      <c r="E47" s="38">
        <v>4.5</v>
      </c>
      <c r="F47" s="35">
        <v>5.54</v>
      </c>
      <c r="G47" s="19">
        <f t="shared" si="7"/>
        <v>0</v>
      </c>
      <c r="H47" s="19">
        <f>SUM(F47*1)</f>
        <v>5.54</v>
      </c>
      <c r="I47" s="19">
        <f>SUM(F47*0)</f>
        <v>0</v>
      </c>
      <c r="K47" s="19">
        <f t="shared" si="0"/>
        <v>0</v>
      </c>
      <c r="L47" s="19">
        <f t="shared" si="1"/>
        <v>0</v>
      </c>
      <c r="M47" s="19">
        <f>(F47*1)</f>
        <v>5.54</v>
      </c>
      <c r="N47" s="38">
        <f t="shared" si="2"/>
        <v>11.08</v>
      </c>
      <c r="O47" s="37">
        <f>SUM(H47:I47)/F47+SUM(K47:M47)/F47</f>
        <v>2</v>
      </c>
      <c r="P47" s="37">
        <f t="shared" si="5"/>
        <v>11.08</v>
      </c>
      <c r="Q47" s="38">
        <f t="shared" si="3"/>
        <v>0</v>
      </c>
      <c r="R47" s="36">
        <f>SUM(P3:P48)</f>
        <v>31090.566099999985</v>
      </c>
    </row>
    <row r="48" spans="1:16" s="46" customFormat="1" ht="45.75" customHeight="1">
      <c r="A48" s="45">
        <v>46</v>
      </c>
      <c r="B48" s="32" t="s">
        <v>69</v>
      </c>
      <c r="C48" s="38" t="s">
        <v>56</v>
      </c>
      <c r="D48" s="33">
        <v>1</v>
      </c>
      <c r="E48" s="38">
        <v>2.2</v>
      </c>
      <c r="F48" s="35">
        <v>2.71</v>
      </c>
      <c r="G48" s="19">
        <f t="shared" si="7"/>
        <v>0</v>
      </c>
      <c r="H48" s="19">
        <f>SUM(F48*0)</f>
        <v>0</v>
      </c>
      <c r="I48" s="19">
        <f>SUM(F48*0)</f>
        <v>0</v>
      </c>
      <c r="J48" s="38"/>
      <c r="K48" s="19">
        <f t="shared" si="0"/>
        <v>0</v>
      </c>
      <c r="L48" s="19">
        <f t="shared" si="1"/>
        <v>0</v>
      </c>
      <c r="M48" s="19">
        <f>(F48*1)</f>
        <v>2.71</v>
      </c>
      <c r="N48" s="38">
        <f t="shared" si="2"/>
        <v>2.71</v>
      </c>
      <c r="O48" s="37">
        <f>SUM(H48:I48)/F48+SUM(K48:M48)/F48</f>
        <v>1</v>
      </c>
      <c r="P48" s="37">
        <f t="shared" si="5"/>
        <v>2.71</v>
      </c>
    </row>
    <row r="49" spans="1:16" ht="21" customHeight="1">
      <c r="A49" s="55" t="s">
        <v>60</v>
      </c>
      <c r="B49" s="55"/>
      <c r="C49" s="55"/>
      <c r="D49" s="55"/>
      <c r="E49" s="38"/>
      <c r="F49" s="47"/>
      <c r="G49" s="47">
        <v>235.22</v>
      </c>
      <c r="H49" s="47">
        <v>24159.98</v>
      </c>
      <c r="I49" s="47">
        <f>SUM(I3:I48)</f>
        <v>1750.6270000000004</v>
      </c>
      <c r="J49" s="47">
        <v>1500</v>
      </c>
      <c r="K49" s="47">
        <v>4542.82</v>
      </c>
      <c r="L49" s="48">
        <v>3427.04</v>
      </c>
      <c r="M49" s="49">
        <v>3178.09</v>
      </c>
      <c r="P49" s="50">
        <f>SUM(G49:M49)</f>
        <v>38793.777</v>
      </c>
    </row>
    <row r="53" ht="15" customHeight="1">
      <c r="P53" s="51">
        <f>SUM(O3:O44)</f>
        <v>6938</v>
      </c>
    </row>
  </sheetData>
  <sheetProtection selectLockedCells="1" selectUnlockedCells="1"/>
  <mergeCells count="8">
    <mergeCell ref="E1:E2"/>
    <mergeCell ref="F1:F2"/>
    <mergeCell ref="H1:M1"/>
    <mergeCell ref="A49:D49"/>
    <mergeCell ref="A1:A2"/>
    <mergeCell ref="B1:B2"/>
    <mergeCell ref="C1:C2"/>
    <mergeCell ref="D1:D2"/>
  </mergeCells>
  <conditionalFormatting sqref="J4:J44 J46">
    <cfRule type="cellIs" priority="1" dxfId="0" operator="notEqual" stopIfTrue="1">
      <formula>0</formula>
    </cfRule>
  </conditionalFormatting>
  <conditionalFormatting sqref="K4:L44">
    <cfRule type="cellIs" priority="2" dxfId="0" operator="notEqual" stopIfTrue="1">
      <formula>0</formula>
    </cfRule>
  </conditionalFormatting>
  <conditionalFormatting sqref="J45">
    <cfRule type="cellIs" priority="3" dxfId="0" operator="notEqual" stopIfTrue="1">
      <formula>0</formula>
    </cfRule>
  </conditionalFormatting>
  <conditionalFormatting sqref="K45:L46 K48:L48">
    <cfRule type="cellIs" priority="4" dxfId="0" operator="notEqual" stopIfTrue="1">
      <formula>0</formula>
    </cfRule>
  </conditionalFormatting>
  <conditionalFormatting sqref="K47:L47">
    <cfRule type="cellIs" priority="5" dxfId="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="75" zoomScaleNormal="75" zoomScaleSheetLayoutView="86" workbookViewId="0" topLeftCell="A1">
      <selection activeCell="R7" sqref="R7"/>
    </sheetView>
  </sheetViews>
  <sheetFormatPr defaultColWidth="9.140625" defaultRowHeight="15" customHeight="1"/>
  <cols>
    <col min="1" max="1" width="8.421875" style="0" customWidth="1"/>
    <col min="2" max="2" width="53.140625" style="0" customWidth="1"/>
    <col min="3" max="6" width="0" style="0" hidden="1" customWidth="1"/>
    <col min="7" max="7" width="13.00390625" style="0" customWidth="1"/>
    <col min="8" max="8" width="8.7109375" style="0" customWidth="1"/>
    <col min="9" max="9" width="13.00390625" style="0" customWidth="1"/>
    <col min="10" max="10" width="12.8515625" style="0" customWidth="1"/>
  </cols>
  <sheetData>
    <row r="1" spans="1:9" ht="15" customHeight="1">
      <c r="A1" t="s">
        <v>70</v>
      </c>
      <c r="I1" t="s">
        <v>71</v>
      </c>
    </row>
    <row r="2" spans="1:10" ht="36.75" customHeight="1">
      <c r="A2" s="62"/>
      <c r="B2" s="63" t="s">
        <v>1</v>
      </c>
      <c r="C2" s="64"/>
      <c r="D2" s="64"/>
      <c r="E2" s="64"/>
      <c r="F2" s="65" t="s">
        <v>2</v>
      </c>
      <c r="G2" s="66" t="s">
        <v>72</v>
      </c>
      <c r="H2" s="67" t="s">
        <v>3</v>
      </c>
      <c r="I2" s="68" t="s">
        <v>5</v>
      </c>
      <c r="J2" s="68" t="s">
        <v>73</v>
      </c>
    </row>
    <row r="3" spans="1:10" ht="57" customHeight="1">
      <c r="A3" s="62"/>
      <c r="B3" s="63"/>
      <c r="C3" s="64"/>
      <c r="D3" s="64"/>
      <c r="E3" s="64"/>
      <c r="F3" s="65"/>
      <c r="G3" s="66"/>
      <c r="H3" s="67"/>
      <c r="I3" s="68"/>
      <c r="J3" s="68"/>
    </row>
    <row r="4" spans="1:10" ht="33.75" customHeight="1">
      <c r="A4" s="64" t="s">
        <v>94</v>
      </c>
      <c r="B4" s="69" t="s">
        <v>74</v>
      </c>
      <c r="C4" s="69"/>
      <c r="D4" s="69"/>
      <c r="E4" s="69"/>
      <c r="F4" s="70" t="s">
        <v>14</v>
      </c>
      <c r="G4" s="71" t="s">
        <v>75</v>
      </c>
      <c r="H4" s="70">
        <v>5</v>
      </c>
      <c r="I4" s="72">
        <v>0</v>
      </c>
      <c r="J4" s="72">
        <f>H4*I4</f>
        <v>0</v>
      </c>
    </row>
    <row r="5" spans="1:10" ht="48.75" customHeight="1">
      <c r="A5" s="64" t="s">
        <v>95</v>
      </c>
      <c r="B5" s="69" t="s">
        <v>76</v>
      </c>
      <c r="C5" s="69"/>
      <c r="D5" s="69"/>
      <c r="E5" s="69"/>
      <c r="F5" s="70" t="s">
        <v>19</v>
      </c>
      <c r="G5" s="71" t="s">
        <v>77</v>
      </c>
      <c r="H5" s="70">
        <v>70</v>
      </c>
      <c r="I5" s="72">
        <v>0</v>
      </c>
      <c r="J5" s="72">
        <f aca="true" t="shared" si="0" ref="J5:J29">H5*I5</f>
        <v>0</v>
      </c>
    </row>
    <row r="6" spans="1:10" ht="66.75" customHeight="1">
      <c r="A6" s="64" t="s">
        <v>96</v>
      </c>
      <c r="B6" s="69" t="s">
        <v>78</v>
      </c>
      <c r="C6" s="69"/>
      <c r="D6" s="69"/>
      <c r="E6" s="69"/>
      <c r="F6" s="70" t="s">
        <v>14</v>
      </c>
      <c r="G6" s="71" t="s">
        <v>77</v>
      </c>
      <c r="H6" s="70">
        <v>250</v>
      </c>
      <c r="I6" s="72">
        <v>0</v>
      </c>
      <c r="J6" s="72">
        <f t="shared" si="0"/>
        <v>0</v>
      </c>
    </row>
    <row r="7" spans="1:10" ht="52.5" customHeight="1">
      <c r="A7" s="64" t="s">
        <v>97</v>
      </c>
      <c r="B7" s="69" t="s">
        <v>21</v>
      </c>
      <c r="C7" s="69"/>
      <c r="D7" s="69"/>
      <c r="E7" s="69"/>
      <c r="F7" s="70" t="s">
        <v>14</v>
      </c>
      <c r="G7" s="71" t="s">
        <v>77</v>
      </c>
      <c r="H7" s="70">
        <v>60</v>
      </c>
      <c r="I7" s="72">
        <v>0</v>
      </c>
      <c r="J7" s="72">
        <f t="shared" si="0"/>
        <v>0</v>
      </c>
    </row>
    <row r="8" spans="1:10" ht="32.25" customHeight="1">
      <c r="A8" s="64" t="s">
        <v>98</v>
      </c>
      <c r="B8" s="69" t="s">
        <v>22</v>
      </c>
      <c r="C8" s="69"/>
      <c r="D8" s="69"/>
      <c r="E8" s="69"/>
      <c r="F8" s="70" t="s">
        <v>14</v>
      </c>
      <c r="G8" s="71" t="s">
        <v>75</v>
      </c>
      <c r="H8" s="70">
        <v>60</v>
      </c>
      <c r="I8" s="72">
        <v>0</v>
      </c>
      <c r="J8" s="72">
        <f t="shared" si="0"/>
        <v>0</v>
      </c>
    </row>
    <row r="9" spans="1:10" ht="18.75" customHeight="1">
      <c r="A9" s="64" t="s">
        <v>99</v>
      </c>
      <c r="B9" s="69" t="s">
        <v>23</v>
      </c>
      <c r="C9" s="69"/>
      <c r="D9" s="69"/>
      <c r="E9" s="69"/>
      <c r="F9" s="70" t="s">
        <v>24</v>
      </c>
      <c r="G9" s="71" t="s">
        <v>75</v>
      </c>
      <c r="H9" s="70">
        <v>5</v>
      </c>
      <c r="I9" s="72">
        <v>0</v>
      </c>
      <c r="J9" s="72">
        <f t="shared" si="0"/>
        <v>0</v>
      </c>
    </row>
    <row r="10" spans="1:10" ht="19.5" customHeight="1">
      <c r="A10" s="64" t="s">
        <v>100</v>
      </c>
      <c r="B10" s="69" t="s">
        <v>25</v>
      </c>
      <c r="C10" s="69"/>
      <c r="D10" s="69"/>
      <c r="E10" s="69"/>
      <c r="F10" s="70" t="s">
        <v>14</v>
      </c>
      <c r="G10" s="71" t="s">
        <v>75</v>
      </c>
      <c r="H10" s="70">
        <v>8</v>
      </c>
      <c r="I10" s="72">
        <v>0</v>
      </c>
      <c r="J10" s="72">
        <f t="shared" si="0"/>
        <v>0</v>
      </c>
    </row>
    <row r="11" spans="1:10" ht="33.75" customHeight="1">
      <c r="A11" s="64" t="s">
        <v>101</v>
      </c>
      <c r="B11" s="69" t="s">
        <v>92</v>
      </c>
      <c r="C11" s="69"/>
      <c r="D11" s="69"/>
      <c r="E11" s="69"/>
      <c r="F11" s="70" t="s">
        <v>19</v>
      </c>
      <c r="G11" s="71" t="s">
        <v>75</v>
      </c>
      <c r="H11" s="70">
        <v>10</v>
      </c>
      <c r="I11" s="72">
        <v>0</v>
      </c>
      <c r="J11" s="72">
        <f t="shared" si="0"/>
        <v>0</v>
      </c>
    </row>
    <row r="12" spans="1:10" ht="21" customHeight="1">
      <c r="A12" s="64" t="s">
        <v>102</v>
      </c>
      <c r="B12" s="69" t="s">
        <v>27</v>
      </c>
      <c r="C12" s="69"/>
      <c r="D12" s="69"/>
      <c r="E12" s="69"/>
      <c r="F12" s="70" t="s">
        <v>14</v>
      </c>
      <c r="G12" s="71" t="s">
        <v>75</v>
      </c>
      <c r="H12" s="70">
        <v>3</v>
      </c>
      <c r="I12" s="72">
        <v>0</v>
      </c>
      <c r="J12" s="72">
        <f t="shared" si="0"/>
        <v>0</v>
      </c>
    </row>
    <row r="13" spans="1:10" ht="18.75" customHeight="1">
      <c r="A13" s="64" t="s">
        <v>103</v>
      </c>
      <c r="B13" s="69" t="s">
        <v>28</v>
      </c>
      <c r="C13" s="69"/>
      <c r="D13" s="69"/>
      <c r="E13" s="69"/>
      <c r="F13" s="70" t="s">
        <v>19</v>
      </c>
      <c r="G13" s="71" t="s">
        <v>75</v>
      </c>
      <c r="H13" s="70">
        <v>8</v>
      </c>
      <c r="I13" s="72">
        <v>0</v>
      </c>
      <c r="J13" s="72">
        <f t="shared" si="0"/>
        <v>0</v>
      </c>
    </row>
    <row r="14" spans="1:10" ht="18" customHeight="1">
      <c r="A14" s="64" t="s">
        <v>104</v>
      </c>
      <c r="B14" s="69" t="s">
        <v>29</v>
      </c>
      <c r="C14" s="69"/>
      <c r="D14" s="69"/>
      <c r="E14" s="69"/>
      <c r="F14" s="70" t="s">
        <v>24</v>
      </c>
      <c r="G14" s="71" t="s">
        <v>75</v>
      </c>
      <c r="H14" s="70">
        <v>5</v>
      </c>
      <c r="I14" s="72">
        <v>0</v>
      </c>
      <c r="J14" s="72">
        <f t="shared" si="0"/>
        <v>0</v>
      </c>
    </row>
    <row r="15" spans="1:10" ht="51.75" customHeight="1">
      <c r="A15" s="64" t="s">
        <v>105</v>
      </c>
      <c r="B15" s="69" t="s">
        <v>79</v>
      </c>
      <c r="C15" s="69"/>
      <c r="D15" s="69"/>
      <c r="E15" s="69"/>
      <c r="F15" s="70" t="s">
        <v>19</v>
      </c>
      <c r="G15" s="71" t="s">
        <v>77</v>
      </c>
      <c r="H15" s="70">
        <v>30</v>
      </c>
      <c r="I15" s="72">
        <v>0</v>
      </c>
      <c r="J15" s="72">
        <f t="shared" si="0"/>
        <v>0</v>
      </c>
    </row>
    <row r="16" spans="1:10" ht="32.25" customHeight="1">
      <c r="A16" s="64" t="s">
        <v>106</v>
      </c>
      <c r="B16" s="69" t="s">
        <v>80</v>
      </c>
      <c r="C16" s="69"/>
      <c r="D16" s="69"/>
      <c r="E16" s="69"/>
      <c r="F16" s="70" t="s">
        <v>14</v>
      </c>
      <c r="G16" s="71" t="s">
        <v>75</v>
      </c>
      <c r="H16" s="70">
        <v>3</v>
      </c>
      <c r="I16" s="72">
        <v>0</v>
      </c>
      <c r="J16" s="72">
        <f t="shared" si="0"/>
        <v>0</v>
      </c>
    </row>
    <row r="17" spans="1:10" ht="16.5" customHeight="1">
      <c r="A17" s="64" t="s">
        <v>107</v>
      </c>
      <c r="B17" s="69" t="s">
        <v>81</v>
      </c>
      <c r="C17" s="69"/>
      <c r="D17" s="69"/>
      <c r="E17" s="69"/>
      <c r="F17" s="70" t="s">
        <v>14</v>
      </c>
      <c r="G17" s="71" t="s">
        <v>75</v>
      </c>
      <c r="H17" s="70">
        <v>40</v>
      </c>
      <c r="I17" s="72">
        <v>0</v>
      </c>
      <c r="J17" s="72">
        <f t="shared" si="0"/>
        <v>0</v>
      </c>
    </row>
    <row r="18" spans="1:10" ht="20.25" customHeight="1">
      <c r="A18" s="64" t="s">
        <v>108</v>
      </c>
      <c r="B18" s="69" t="s">
        <v>41</v>
      </c>
      <c r="C18" s="69"/>
      <c r="D18" s="69"/>
      <c r="E18" s="69"/>
      <c r="F18" s="70" t="s">
        <v>14</v>
      </c>
      <c r="G18" s="71" t="s">
        <v>75</v>
      </c>
      <c r="H18" s="70">
        <v>10</v>
      </c>
      <c r="I18" s="72">
        <v>0</v>
      </c>
      <c r="J18" s="72">
        <f t="shared" si="0"/>
        <v>0</v>
      </c>
    </row>
    <row r="19" spans="1:10" ht="180" customHeight="1">
      <c r="A19" s="64" t="s">
        <v>109</v>
      </c>
      <c r="B19" s="69" t="s">
        <v>82</v>
      </c>
      <c r="C19" s="69"/>
      <c r="D19" s="69"/>
      <c r="E19" s="69"/>
      <c r="F19" s="70" t="s">
        <v>14</v>
      </c>
      <c r="G19" s="71" t="s">
        <v>75</v>
      </c>
      <c r="H19" s="70">
        <v>5</v>
      </c>
      <c r="I19" s="72">
        <v>0</v>
      </c>
      <c r="J19" s="72">
        <f t="shared" si="0"/>
        <v>0</v>
      </c>
    </row>
    <row r="20" spans="1:10" ht="148.5" customHeight="1">
      <c r="A20" s="64" t="s">
        <v>110</v>
      </c>
      <c r="B20" s="69" t="s">
        <v>89</v>
      </c>
      <c r="C20" s="69"/>
      <c r="D20" s="69"/>
      <c r="E20" s="69"/>
      <c r="F20" s="70" t="s">
        <v>14</v>
      </c>
      <c r="G20" s="71" t="s">
        <v>77</v>
      </c>
      <c r="H20" s="70">
        <v>150</v>
      </c>
      <c r="I20" s="72">
        <v>0</v>
      </c>
      <c r="J20" s="72">
        <f t="shared" si="0"/>
        <v>0</v>
      </c>
    </row>
    <row r="21" spans="1:10" ht="19.5" customHeight="1">
      <c r="A21" s="64" t="s">
        <v>111</v>
      </c>
      <c r="B21" s="69" t="s">
        <v>83</v>
      </c>
      <c r="C21" s="69"/>
      <c r="D21" s="69"/>
      <c r="E21" s="69"/>
      <c r="F21" s="70" t="s">
        <v>56</v>
      </c>
      <c r="G21" s="71" t="s">
        <v>75</v>
      </c>
      <c r="H21" s="70">
        <v>5</v>
      </c>
      <c r="I21" s="72">
        <v>0</v>
      </c>
      <c r="J21" s="72">
        <f t="shared" si="0"/>
        <v>0</v>
      </c>
    </row>
    <row r="22" spans="1:10" ht="21" customHeight="1">
      <c r="A22" s="64" t="s">
        <v>112</v>
      </c>
      <c r="B22" s="69" t="s">
        <v>84</v>
      </c>
      <c r="C22" s="69"/>
      <c r="D22" s="69"/>
      <c r="E22" s="69"/>
      <c r="F22" s="69" t="s">
        <v>56</v>
      </c>
      <c r="G22" s="71" t="s">
        <v>75</v>
      </c>
      <c r="H22" s="70">
        <v>5</v>
      </c>
      <c r="I22" s="72">
        <v>0</v>
      </c>
      <c r="J22" s="72">
        <f t="shared" si="0"/>
        <v>0</v>
      </c>
    </row>
    <row r="23" spans="1:10" ht="33" customHeight="1">
      <c r="A23" s="64" t="s">
        <v>113</v>
      </c>
      <c r="B23" s="69" t="s">
        <v>90</v>
      </c>
      <c r="C23" s="69"/>
      <c r="D23" s="69"/>
      <c r="E23" s="69"/>
      <c r="F23" s="69"/>
      <c r="G23" s="71" t="s">
        <v>75</v>
      </c>
      <c r="H23" s="70">
        <v>10</v>
      </c>
      <c r="I23" s="72">
        <v>0</v>
      </c>
      <c r="J23" s="72">
        <f t="shared" si="0"/>
        <v>0</v>
      </c>
    </row>
    <row r="24" spans="1:10" ht="33" customHeight="1">
      <c r="A24" s="64" t="s">
        <v>114</v>
      </c>
      <c r="B24" s="69" t="s">
        <v>85</v>
      </c>
      <c r="C24" s="69"/>
      <c r="D24" s="69"/>
      <c r="E24" s="69"/>
      <c r="F24" s="69"/>
      <c r="G24" s="71" t="s">
        <v>75</v>
      </c>
      <c r="H24" s="70">
        <v>10</v>
      </c>
      <c r="I24" s="72">
        <v>0</v>
      </c>
      <c r="J24" s="72">
        <f t="shared" si="0"/>
        <v>0</v>
      </c>
    </row>
    <row r="25" spans="1:10" ht="34.5" customHeight="1">
      <c r="A25" s="64" t="s">
        <v>115</v>
      </c>
      <c r="B25" s="69" t="s">
        <v>86</v>
      </c>
      <c r="C25" s="69"/>
      <c r="D25" s="69"/>
      <c r="E25" s="69"/>
      <c r="F25" s="69"/>
      <c r="G25" s="71" t="s">
        <v>75</v>
      </c>
      <c r="H25" s="70">
        <v>3</v>
      </c>
      <c r="I25" s="72">
        <v>0</v>
      </c>
      <c r="J25" s="72">
        <f t="shared" si="0"/>
        <v>0</v>
      </c>
    </row>
    <row r="26" spans="1:10" ht="25.5" customHeight="1">
      <c r="A26" s="64" t="s">
        <v>116</v>
      </c>
      <c r="B26" s="69" t="s">
        <v>87</v>
      </c>
      <c r="C26" s="69"/>
      <c r="D26" s="69"/>
      <c r="E26" s="69"/>
      <c r="F26" s="69"/>
      <c r="G26" s="71" t="s">
        <v>75</v>
      </c>
      <c r="H26" s="70">
        <v>8</v>
      </c>
      <c r="I26" s="72">
        <v>0</v>
      </c>
      <c r="J26" s="72">
        <f t="shared" si="0"/>
        <v>0</v>
      </c>
    </row>
    <row r="27" spans="1:10" ht="34.5" customHeight="1">
      <c r="A27" s="64" t="s">
        <v>117</v>
      </c>
      <c r="B27" s="69" t="s">
        <v>88</v>
      </c>
      <c r="C27" s="69"/>
      <c r="D27" s="69"/>
      <c r="E27" s="69"/>
      <c r="F27" s="69"/>
      <c r="G27" s="71" t="s">
        <v>75</v>
      </c>
      <c r="H27" s="70">
        <v>8</v>
      </c>
      <c r="I27" s="72">
        <v>0</v>
      </c>
      <c r="J27" s="72">
        <f t="shared" si="0"/>
        <v>0</v>
      </c>
    </row>
    <row r="28" spans="1:10" ht="27" customHeight="1">
      <c r="A28" s="64" t="s">
        <v>118</v>
      </c>
      <c r="B28" s="73" t="s">
        <v>93</v>
      </c>
      <c r="C28" s="73"/>
      <c r="D28" s="73"/>
      <c r="E28" s="73"/>
      <c r="F28" s="69"/>
      <c r="G28" s="71" t="s">
        <v>75</v>
      </c>
      <c r="H28" s="70">
        <v>36</v>
      </c>
      <c r="I28" s="72">
        <v>0</v>
      </c>
      <c r="J28" s="72">
        <f t="shared" si="0"/>
        <v>0</v>
      </c>
    </row>
    <row r="29" spans="1:10" ht="20.25" customHeight="1">
      <c r="A29" s="64" t="s">
        <v>119</v>
      </c>
      <c r="B29" s="69" t="s">
        <v>91</v>
      </c>
      <c r="C29" s="69"/>
      <c r="D29" s="69"/>
      <c r="E29" s="69"/>
      <c r="F29" s="69"/>
      <c r="G29" s="71" t="s">
        <v>75</v>
      </c>
      <c r="H29" s="70">
        <v>2</v>
      </c>
      <c r="I29" s="72">
        <v>0</v>
      </c>
      <c r="J29" s="72">
        <f t="shared" si="0"/>
        <v>0</v>
      </c>
    </row>
    <row r="30" spans="1:10" ht="41.25" customHeight="1">
      <c r="A30" s="62" t="s">
        <v>60</v>
      </c>
      <c r="B30" s="62"/>
      <c r="C30" s="62"/>
      <c r="D30" s="62"/>
      <c r="E30" s="74"/>
      <c r="F30" s="71"/>
      <c r="G30" s="71"/>
      <c r="H30" s="71"/>
      <c r="I30" s="54"/>
      <c r="J30" s="54">
        <f>SUM(J4:J29)</f>
        <v>0</v>
      </c>
    </row>
    <row r="31" spans="1:10" ht="15" customHeight="1">
      <c r="A31" s="52"/>
      <c r="B31" s="46"/>
      <c r="C31" s="46"/>
      <c r="D31" s="46"/>
      <c r="E31" s="46"/>
      <c r="F31" s="52"/>
      <c r="G31" s="52"/>
      <c r="H31" s="52"/>
      <c r="I31" s="52"/>
      <c r="J31" s="52"/>
    </row>
    <row r="32" spans="1:10" ht="15" customHeight="1">
      <c r="A32" s="52"/>
      <c r="B32" s="46"/>
      <c r="C32" s="46"/>
      <c r="D32" s="46"/>
      <c r="E32" s="46"/>
      <c r="F32" s="52"/>
      <c r="G32" s="52"/>
      <c r="H32" s="52"/>
      <c r="I32" s="52"/>
      <c r="J32" s="52"/>
    </row>
    <row r="33" spans="1:10" ht="15" customHeight="1">
      <c r="A33" s="75"/>
      <c r="B33" s="76"/>
      <c r="C33" s="77"/>
      <c r="D33" s="78"/>
      <c r="E33" s="79"/>
      <c r="F33" s="80"/>
      <c r="G33" s="81"/>
      <c r="H33" s="82"/>
      <c r="I33" s="83"/>
      <c r="J33" s="52"/>
    </row>
    <row r="34" spans="1:10" ht="15" customHeight="1">
      <c r="A34" s="75"/>
      <c r="B34" s="84" t="s">
        <v>123</v>
      </c>
      <c r="C34" s="77"/>
      <c r="D34" s="78"/>
      <c r="E34" s="79"/>
      <c r="F34" s="80"/>
      <c r="G34" s="81"/>
      <c r="H34" s="82"/>
      <c r="I34" s="83"/>
      <c r="J34" s="52"/>
    </row>
    <row r="35" spans="1:39" s="38" customFormat="1" ht="15" customHeight="1">
      <c r="A35" s="75"/>
      <c r="B35" s="90" t="s">
        <v>120</v>
      </c>
      <c r="C35" s="77"/>
      <c r="D35" s="78"/>
      <c r="E35" s="79"/>
      <c r="F35" s="80"/>
      <c r="G35" s="81"/>
      <c r="H35" s="82"/>
      <c r="I35" s="83"/>
      <c r="J35" s="5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38" customFormat="1" ht="15" customHeight="1">
      <c r="A36" s="75"/>
      <c r="B36" s="90"/>
      <c r="C36" s="77"/>
      <c r="D36" s="78"/>
      <c r="E36" s="85" t="s">
        <v>122</v>
      </c>
      <c r="F36" s="85"/>
      <c r="G36" s="85"/>
      <c r="H36" s="85"/>
      <c r="I36" s="85"/>
      <c r="J36" s="5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38" customFormat="1" ht="15" customHeight="1">
      <c r="A37" s="75"/>
      <c r="B37" s="90"/>
      <c r="C37" s="77"/>
      <c r="D37" s="78"/>
      <c r="E37" s="86" t="s">
        <v>121</v>
      </c>
      <c r="F37" s="86"/>
      <c r="G37" s="86"/>
      <c r="H37" s="86"/>
      <c r="I37" s="86"/>
      <c r="J37" s="5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38" customFormat="1" ht="15" customHeight="1">
      <c r="A38" s="83"/>
      <c r="B38" s="87"/>
      <c r="C38" s="88"/>
      <c r="D38" s="79"/>
      <c r="E38" s="86"/>
      <c r="F38" s="86"/>
      <c r="G38" s="86"/>
      <c r="H38" s="86"/>
      <c r="I38" s="86"/>
      <c r="J38" s="5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38" customFormat="1" ht="15" customHeight="1">
      <c r="A39" s="83"/>
      <c r="B39" s="87"/>
      <c r="C39" s="88"/>
      <c r="D39" s="79"/>
      <c r="E39" s="86"/>
      <c r="F39" s="86"/>
      <c r="G39" s="86"/>
      <c r="H39" s="86"/>
      <c r="I39" s="86"/>
      <c r="J39" s="5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38" customFormat="1" ht="15" customHeight="1">
      <c r="A40" s="83"/>
      <c r="B40" s="87"/>
      <c r="C40" s="88"/>
      <c r="D40" s="79"/>
      <c r="E40" s="79"/>
      <c r="F40" s="80"/>
      <c r="G40" s="89"/>
      <c r="H40" s="82"/>
      <c r="I40" s="83"/>
      <c r="J40" s="5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38" customFormat="1" ht="15" customHeigh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10" ht="1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</sheetData>
  <sheetProtection selectLockedCells="1" selectUnlockedCells="1"/>
  <mergeCells count="11">
    <mergeCell ref="B35:B37"/>
    <mergeCell ref="E37:I39"/>
    <mergeCell ref="E36:I36"/>
    <mergeCell ref="H2:H3"/>
    <mergeCell ref="I2:I3"/>
    <mergeCell ref="J2:J3"/>
    <mergeCell ref="A30:D30"/>
    <mergeCell ref="A2:A3"/>
    <mergeCell ref="B2:B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2024-01-17T08:46:22Z</cp:lastPrinted>
  <dcterms:created xsi:type="dcterms:W3CDTF">2021-01-21T17:47:35Z</dcterms:created>
  <dcterms:modified xsi:type="dcterms:W3CDTF">2024-01-17T08:51:38Z</dcterms:modified>
  <cp:category/>
  <cp:version/>
  <cp:contentType/>
  <cp:contentStatus/>
</cp:coreProperties>
</file>